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80" windowWidth="19440" windowHeight="9765" tabRatio="773" firstSheet="1" activeTab="3"/>
  </bookViews>
  <sheets>
    <sheet name="Result Q Men sportisti" sheetId="19" r:id="rId1"/>
    <sheet name="Result Q Men amatieri" sheetId="21" r:id="rId2"/>
    <sheet name="Result Q Women sportisti" sheetId="15" r:id="rId3"/>
    <sheet name="Result Q Women amatieri" sheetId="22" r:id="rId4"/>
    <sheet name="Result SemiFinal" sheetId="20" r:id="rId5"/>
    <sheet name="Result FINAL" sheetId="13" r:id="rId6"/>
    <sheet name="Dalībnieku saraksts" sheetId="23" r:id="rId7"/>
    <sheet name="Sheet1" sheetId="24" r:id="rId8"/>
    <sheet name="Sheet2" sheetId="25" r:id="rId9"/>
  </sheets>
  <calcPr calcId="145621"/>
</workbook>
</file>

<file path=xl/calcChain.xml><?xml version="1.0" encoding="utf-8"?>
<calcChain xmlns="http://schemas.openxmlformats.org/spreadsheetml/2006/main">
  <c r="S33" i="13" l="1"/>
  <c r="R33" i="13"/>
  <c r="Q33" i="13"/>
  <c r="P33" i="13"/>
  <c r="S31" i="13"/>
  <c r="R31" i="13"/>
  <c r="Q31" i="13"/>
  <c r="P31" i="13"/>
  <c r="S35" i="13"/>
  <c r="R35" i="13"/>
  <c r="Q35" i="13"/>
  <c r="P35" i="13"/>
  <c r="S30" i="13"/>
  <c r="R30" i="13"/>
  <c r="Q30" i="13"/>
  <c r="P30" i="13"/>
  <c r="S32" i="13"/>
  <c r="R32" i="13"/>
  <c r="Q32" i="13"/>
  <c r="P32" i="13"/>
  <c r="S34" i="13"/>
  <c r="R34" i="13"/>
  <c r="Q34" i="13"/>
  <c r="P34" i="13"/>
  <c r="S23" i="13"/>
  <c r="R23" i="13"/>
  <c r="Q23" i="13"/>
  <c r="P23" i="13"/>
  <c r="S24" i="13"/>
  <c r="R24" i="13"/>
  <c r="Q24" i="13"/>
  <c r="P24" i="13"/>
  <c r="S22" i="13"/>
  <c r="R22" i="13"/>
  <c r="Q22" i="13"/>
  <c r="P22" i="13"/>
  <c r="S21" i="13"/>
  <c r="R21" i="13"/>
  <c r="Q21" i="13"/>
  <c r="P21" i="13"/>
  <c r="S26" i="13"/>
  <c r="R26" i="13"/>
  <c r="Q26" i="13"/>
  <c r="P26" i="13"/>
  <c r="S25" i="13"/>
  <c r="R25" i="13"/>
  <c r="Q25" i="13"/>
  <c r="P25" i="13"/>
  <c r="P8" i="13"/>
  <c r="Q8" i="13"/>
  <c r="R8" i="13"/>
  <c r="S8" i="13"/>
  <c r="P5" i="13"/>
  <c r="Q5" i="13"/>
  <c r="R5" i="13"/>
  <c r="S5" i="13"/>
  <c r="P6" i="13"/>
  <c r="Q6" i="13"/>
  <c r="R6" i="13"/>
  <c r="S6" i="13"/>
  <c r="P4" i="13"/>
  <c r="Q4" i="13"/>
  <c r="R4" i="13"/>
  <c r="S4" i="13"/>
  <c r="P9" i="13"/>
  <c r="Q9" i="13"/>
  <c r="R9" i="13"/>
  <c r="S9" i="13"/>
  <c r="P16" i="13"/>
  <c r="Q16" i="13"/>
  <c r="R16" i="13"/>
  <c r="S16" i="13"/>
  <c r="P17" i="13"/>
  <c r="Q17" i="13"/>
  <c r="R17" i="13"/>
  <c r="S17" i="13"/>
  <c r="P13" i="13"/>
  <c r="Q13" i="13"/>
  <c r="R13" i="13"/>
  <c r="S13" i="13"/>
  <c r="P14" i="13"/>
  <c r="Q14" i="13"/>
  <c r="R14" i="13"/>
  <c r="S14" i="13"/>
  <c r="P15" i="13"/>
  <c r="Q15" i="13"/>
  <c r="R15" i="13"/>
  <c r="S15" i="13"/>
  <c r="S7" i="13"/>
  <c r="R7" i="13"/>
  <c r="Q7" i="13"/>
  <c r="P7" i="13"/>
  <c r="N12" i="20" l="1"/>
  <c r="R14" i="20"/>
  <c r="P19" i="20"/>
  <c r="Q19" i="20"/>
  <c r="R19" i="20"/>
  <c r="S19" i="20"/>
  <c r="P16" i="20"/>
  <c r="Q16" i="20"/>
  <c r="R16" i="20"/>
  <c r="S16" i="20"/>
  <c r="P14" i="20"/>
  <c r="Q14" i="20"/>
  <c r="S14" i="20"/>
  <c r="S18" i="20"/>
  <c r="R18" i="20"/>
  <c r="Q18" i="20"/>
  <c r="P18" i="20"/>
  <c r="S17" i="20"/>
  <c r="R17" i="20"/>
  <c r="Q17" i="20"/>
  <c r="P17" i="20"/>
  <c r="S13" i="20"/>
  <c r="R13" i="20"/>
  <c r="Q13" i="20"/>
  <c r="P13" i="20"/>
  <c r="S12" i="20"/>
  <c r="R12" i="20"/>
  <c r="Q12" i="20"/>
  <c r="P12" i="20"/>
  <c r="S11" i="20"/>
  <c r="R11" i="20"/>
  <c r="Q11" i="20"/>
  <c r="P11" i="20"/>
  <c r="S15" i="20"/>
  <c r="R15" i="20"/>
  <c r="Q15" i="20"/>
  <c r="P15" i="20"/>
  <c r="S7" i="20"/>
  <c r="R7" i="20"/>
  <c r="Q7" i="20"/>
  <c r="P7" i="20"/>
  <c r="S10" i="20"/>
  <c r="R10" i="20"/>
  <c r="Q10" i="20"/>
  <c r="P10" i="20"/>
  <c r="S9" i="20"/>
  <c r="R9" i="20"/>
  <c r="Q9" i="20"/>
  <c r="P9" i="20"/>
  <c r="S4" i="20"/>
  <c r="R4" i="20"/>
  <c r="Q4" i="20"/>
  <c r="P4" i="20"/>
  <c r="S8" i="20"/>
  <c r="R8" i="20"/>
  <c r="Q8" i="20"/>
  <c r="P8" i="20"/>
  <c r="S6" i="20"/>
  <c r="R6" i="20"/>
  <c r="Q6" i="20"/>
  <c r="P6" i="20"/>
  <c r="S5" i="20"/>
  <c r="R5" i="20"/>
  <c r="Q5" i="20"/>
  <c r="P5" i="20"/>
  <c r="P27" i="20"/>
  <c r="Q27" i="20"/>
  <c r="R27" i="20"/>
  <c r="S27" i="20"/>
  <c r="P24" i="20"/>
  <c r="Q24" i="20"/>
  <c r="R24" i="20"/>
  <c r="S24" i="20"/>
  <c r="P26" i="20"/>
  <c r="Q26" i="20"/>
  <c r="R26" i="20"/>
  <c r="S26" i="20"/>
  <c r="P34" i="20"/>
  <c r="Q34" i="20"/>
  <c r="R34" i="20"/>
  <c r="S34" i="20"/>
  <c r="P35" i="20"/>
  <c r="Q35" i="20"/>
  <c r="R35" i="20"/>
  <c r="S35" i="20"/>
  <c r="P23" i="20"/>
  <c r="Q23" i="20"/>
  <c r="R23" i="20"/>
  <c r="S23" i="20"/>
  <c r="P32" i="20"/>
  <c r="Q32" i="20"/>
  <c r="R32" i="20"/>
  <c r="S32" i="20"/>
  <c r="P31" i="20"/>
  <c r="Q31" i="20"/>
  <c r="R31" i="20"/>
  <c r="S31" i="20"/>
  <c r="P33" i="20"/>
  <c r="Q33" i="20"/>
  <c r="R33" i="20"/>
  <c r="S33" i="20"/>
  <c r="P30" i="20"/>
  <c r="Q30" i="20"/>
  <c r="R30" i="20"/>
  <c r="S30" i="20"/>
  <c r="P29" i="20"/>
  <c r="Q29" i="20"/>
  <c r="R29" i="20"/>
  <c r="S29" i="20"/>
  <c r="P28" i="20"/>
  <c r="Q28" i="20"/>
  <c r="R28" i="20"/>
  <c r="S28" i="20"/>
  <c r="Q25" i="20"/>
  <c r="O25" i="20"/>
  <c r="S25" i="20"/>
  <c r="P25" i="20"/>
  <c r="R25" i="20"/>
  <c r="N25" i="20"/>
  <c r="O33" i="13" l="1"/>
  <c r="N33" i="13"/>
  <c r="O31" i="13"/>
  <c r="N31" i="13"/>
  <c r="O35" i="13"/>
  <c r="N35" i="13"/>
  <c r="O30" i="13"/>
  <c r="N30" i="13"/>
  <c r="O32" i="13"/>
  <c r="N32" i="13"/>
  <c r="O34" i="13"/>
  <c r="N34" i="13"/>
  <c r="O23" i="13"/>
  <c r="N23" i="13"/>
  <c r="O24" i="13"/>
  <c r="N24" i="13"/>
  <c r="O22" i="13"/>
  <c r="N22" i="13"/>
  <c r="O21" i="13"/>
  <c r="N21" i="13"/>
  <c r="O26" i="13"/>
  <c r="N26" i="13"/>
  <c r="O25" i="13"/>
  <c r="N25" i="13"/>
  <c r="O38" i="20"/>
  <c r="N38" i="20"/>
  <c r="O37" i="20"/>
  <c r="N37" i="20"/>
  <c r="O36" i="20"/>
  <c r="N36" i="20"/>
  <c r="O28" i="20"/>
  <c r="N28" i="20"/>
  <c r="O29" i="20"/>
  <c r="N29" i="20"/>
  <c r="O30" i="20"/>
  <c r="N30" i="20"/>
  <c r="O33" i="20"/>
  <c r="N33" i="20"/>
  <c r="O31" i="20"/>
  <c r="N31" i="20"/>
  <c r="O32" i="20"/>
  <c r="N32" i="20"/>
  <c r="O23" i="20"/>
  <c r="N23" i="20"/>
  <c r="O35" i="20"/>
  <c r="N35" i="20"/>
  <c r="O34" i="20"/>
  <c r="N34" i="20"/>
  <c r="O26" i="20"/>
  <c r="N26" i="20"/>
  <c r="O24" i="20"/>
  <c r="N24" i="20"/>
  <c r="O27" i="20"/>
  <c r="N27" i="20"/>
  <c r="AO2" i="21"/>
  <c r="AP2" i="21"/>
  <c r="AQ2" i="21"/>
  <c r="AR2" i="21"/>
  <c r="AS2" i="21"/>
  <c r="AT2" i="21"/>
  <c r="AU2" i="21"/>
  <c r="AV2" i="21"/>
  <c r="AW2" i="21"/>
  <c r="AX2" i="21"/>
  <c r="AY2" i="21"/>
  <c r="AZ2" i="21"/>
  <c r="BA2" i="21"/>
  <c r="BB2" i="21"/>
  <c r="BC2" i="21"/>
  <c r="AO2" i="22"/>
  <c r="AP2" i="22"/>
  <c r="AQ2" i="22"/>
  <c r="AR2" i="22"/>
  <c r="AS2" i="22"/>
  <c r="AT2" i="22"/>
  <c r="AU2" i="22"/>
  <c r="AV2" i="22"/>
  <c r="AW2" i="22"/>
  <c r="AX2" i="22"/>
  <c r="AY2" i="22"/>
  <c r="AZ2" i="22"/>
  <c r="BA2" i="22"/>
  <c r="BB2" i="22"/>
  <c r="BC2" i="22"/>
  <c r="AN2" i="22"/>
  <c r="AM2" i="22"/>
  <c r="AL2" i="22"/>
  <c r="AK2" i="22"/>
  <c r="AJ2" i="22"/>
  <c r="AI2" i="22"/>
  <c r="AH2" i="22"/>
  <c r="AG2" i="22"/>
  <c r="AF2" i="22"/>
  <c r="AE2" i="22"/>
  <c r="AD2" i="22"/>
  <c r="AC2" i="22"/>
  <c r="AB2" i="22"/>
  <c r="AA2" i="22"/>
  <c r="Z2" i="22"/>
  <c r="Y2" i="22"/>
  <c r="X2" i="22"/>
  <c r="W2" i="22"/>
  <c r="V2" i="22"/>
  <c r="U2" i="22"/>
  <c r="T2" i="22"/>
  <c r="S2" i="22"/>
  <c r="R2" i="22"/>
  <c r="Q2" i="22"/>
  <c r="P2" i="22"/>
  <c r="O2" i="22"/>
  <c r="N2" i="22"/>
  <c r="M2" i="22"/>
  <c r="L2" i="22"/>
  <c r="K2" i="22"/>
  <c r="J2" i="22"/>
  <c r="I2" i="22"/>
  <c r="H2" i="22"/>
  <c r="G2" i="22"/>
  <c r="F2" i="22"/>
  <c r="AN2" i="21"/>
  <c r="AM2" i="21"/>
  <c r="AL2" i="21"/>
  <c r="AK2" i="21"/>
  <c r="AJ2" i="21"/>
  <c r="AI2" i="21"/>
  <c r="AH2" i="21"/>
  <c r="AG2" i="21"/>
  <c r="AF2" i="21"/>
  <c r="AE2" i="21"/>
  <c r="AD2" i="21"/>
  <c r="AC2" i="21"/>
  <c r="AB2" i="21"/>
  <c r="AA2" i="21"/>
  <c r="Z2" i="21"/>
  <c r="Y2" i="21"/>
  <c r="X2" i="21"/>
  <c r="W2" i="21"/>
  <c r="V2" i="21"/>
  <c r="U2" i="21"/>
  <c r="T2" i="21"/>
  <c r="S2" i="21"/>
  <c r="R2" i="21"/>
  <c r="Q2" i="21"/>
  <c r="P2" i="21"/>
  <c r="O2" i="21"/>
  <c r="N2" i="21"/>
  <c r="M2" i="21"/>
  <c r="L2" i="21"/>
  <c r="K2" i="21"/>
  <c r="J2" i="21"/>
  <c r="I2" i="21"/>
  <c r="H2" i="21"/>
  <c r="G2" i="21"/>
  <c r="F2" i="21"/>
  <c r="AJ2" i="15"/>
  <c r="AK2" i="15"/>
  <c r="AL2" i="15"/>
  <c r="AM2" i="15"/>
  <c r="AN2" i="15"/>
  <c r="AJ2" i="19"/>
  <c r="AK2" i="19"/>
  <c r="AL2" i="19"/>
  <c r="AM2" i="19"/>
  <c r="AN2" i="19"/>
  <c r="BD18" i="22" l="1"/>
  <c r="BD15" i="22"/>
  <c r="BD22" i="22"/>
  <c r="BD23" i="22"/>
  <c r="BD10" i="22"/>
  <c r="BD20" i="21"/>
  <c r="BD12" i="21"/>
  <c r="BD17" i="22"/>
  <c r="BD33" i="21"/>
  <c r="BD21" i="21"/>
  <c r="BD30" i="21"/>
  <c r="BD14" i="21"/>
  <c r="BD23" i="21"/>
  <c r="BD5" i="22"/>
  <c r="BD6" i="22"/>
  <c r="BD27" i="21"/>
  <c r="BD7" i="21"/>
  <c r="BD9" i="21"/>
  <c r="BD15" i="21"/>
  <c r="BD8" i="21"/>
  <c r="BD16" i="21"/>
  <c r="BD6" i="21"/>
  <c r="BD18" i="21"/>
  <c r="BD24" i="21"/>
  <c r="BD13" i="21"/>
  <c r="BD31" i="21"/>
  <c r="BD19" i="21"/>
  <c r="BD5" i="21"/>
  <c r="BD22" i="21"/>
  <c r="BD10" i="21"/>
  <c r="BD32" i="21"/>
  <c r="BD25" i="21"/>
  <c r="BD29" i="21"/>
  <c r="BD26" i="21"/>
  <c r="BD17" i="21"/>
  <c r="BD11" i="21"/>
  <c r="BD28" i="21"/>
  <c r="BD7" i="22"/>
  <c r="BD21" i="22"/>
  <c r="BD20" i="22"/>
  <c r="BD9" i="22"/>
  <c r="BD14" i="22"/>
  <c r="BD13" i="22"/>
  <c r="BD11" i="22"/>
  <c r="BD8" i="22"/>
  <c r="BD12" i="22"/>
  <c r="BD16" i="22"/>
  <c r="BD19" i="22"/>
  <c r="BD24" i="22"/>
  <c r="N14" i="20"/>
  <c r="O14" i="20"/>
  <c r="N10" i="20"/>
  <c r="O10" i="20"/>
  <c r="N9" i="20"/>
  <c r="O9" i="20"/>
  <c r="N7" i="20"/>
  <c r="O7" i="20"/>
  <c r="O12" i="20"/>
  <c r="N15" i="20"/>
  <c r="O15" i="20"/>
  <c r="N18" i="20"/>
  <c r="O18" i="20"/>
  <c r="N16" i="20"/>
  <c r="O16" i="20"/>
  <c r="N17" i="20"/>
  <c r="O17" i="20"/>
  <c r="N19" i="20"/>
  <c r="O19" i="20"/>
  <c r="O13" i="20"/>
  <c r="N13" i="20"/>
  <c r="O8" i="20"/>
  <c r="N8" i="20"/>
  <c r="O11" i="20"/>
  <c r="N11" i="20"/>
  <c r="O4" i="20"/>
  <c r="N4" i="20"/>
  <c r="O5" i="20"/>
  <c r="N5" i="20"/>
  <c r="O6" i="20"/>
  <c r="N6" i="20"/>
  <c r="AI2" i="19"/>
  <c r="AH2" i="19"/>
  <c r="AG2" i="19"/>
  <c r="AF2" i="19"/>
  <c r="AE2" i="19"/>
  <c r="AD2" i="19"/>
  <c r="AC2" i="19"/>
  <c r="AB2" i="19"/>
  <c r="AA2" i="19"/>
  <c r="Z2" i="19"/>
  <c r="Y2" i="19"/>
  <c r="X2" i="19"/>
  <c r="W2" i="19"/>
  <c r="V2" i="19"/>
  <c r="U2" i="19"/>
  <c r="T2" i="19"/>
  <c r="S2" i="19"/>
  <c r="R2" i="19"/>
  <c r="Q2" i="19"/>
  <c r="P2" i="19"/>
  <c r="O2" i="19"/>
  <c r="N2" i="19"/>
  <c r="M2" i="19"/>
  <c r="L2" i="19"/>
  <c r="K2" i="19"/>
  <c r="J2" i="19"/>
  <c r="I2" i="19"/>
  <c r="H2" i="19"/>
  <c r="G2" i="19"/>
  <c r="F2" i="19"/>
  <c r="AE2" i="15"/>
  <c r="AF2" i="15"/>
  <c r="AG2" i="15"/>
  <c r="AH2" i="15"/>
  <c r="AI2" i="15"/>
  <c r="N16" i="13"/>
  <c r="N8" i="13"/>
  <c r="N4" i="13"/>
  <c r="N9" i="13"/>
  <c r="N6" i="13"/>
  <c r="AD2" i="15"/>
  <c r="AC2" i="15"/>
  <c r="AB2" i="15"/>
  <c r="AA2" i="15"/>
  <c r="Z2" i="15"/>
  <c r="Y2" i="15"/>
  <c r="X2" i="15"/>
  <c r="W2" i="15"/>
  <c r="V2" i="15"/>
  <c r="U2" i="15"/>
  <c r="T2" i="15"/>
  <c r="S2" i="15"/>
  <c r="R2" i="15"/>
  <c r="Q2" i="15"/>
  <c r="P2" i="15"/>
  <c r="O2" i="15"/>
  <c r="N2" i="15"/>
  <c r="M2" i="15"/>
  <c r="L2" i="15"/>
  <c r="K2" i="15"/>
  <c r="J2" i="15"/>
  <c r="I2" i="15"/>
  <c r="H2" i="15"/>
  <c r="G2" i="15"/>
  <c r="F2" i="15"/>
  <c r="N17" i="13"/>
  <c r="O17" i="13"/>
  <c r="N13" i="13"/>
  <c r="O13" i="13"/>
  <c r="N14" i="13"/>
  <c r="O14" i="13"/>
  <c r="O16" i="13"/>
  <c r="N15" i="13"/>
  <c r="O15" i="13"/>
  <c r="O7" i="13"/>
  <c r="O8" i="13"/>
  <c r="O4" i="13"/>
  <c r="O9" i="13"/>
  <c r="O6" i="13"/>
  <c r="O5" i="13"/>
  <c r="N7" i="13"/>
  <c r="N5" i="13"/>
  <c r="AO11" i="19" l="1"/>
  <c r="AO44" i="19"/>
  <c r="AO7" i="19"/>
  <c r="AO26" i="19"/>
  <c r="AO18" i="19"/>
  <c r="AO7" i="15"/>
  <c r="AO27" i="19"/>
  <c r="AO23" i="19"/>
  <c r="AO23" i="15"/>
  <c r="AO21" i="15"/>
  <c r="AO22" i="15"/>
  <c r="AO24" i="15"/>
  <c r="AO9" i="15"/>
  <c r="AO19" i="15"/>
  <c r="AO16" i="15"/>
  <c r="AO12" i="15"/>
  <c r="AO6" i="15"/>
  <c r="AO20" i="15"/>
  <c r="AO17" i="15"/>
  <c r="AO13" i="15"/>
  <c r="AO10" i="15"/>
  <c r="AO11" i="15"/>
  <c r="AO15" i="15"/>
  <c r="AO5" i="15"/>
  <c r="AO18" i="15"/>
  <c r="AO8" i="15"/>
  <c r="AO14" i="15"/>
  <c r="AO30" i="19"/>
  <c r="AO9" i="19"/>
  <c r="AO39" i="19"/>
  <c r="AO5" i="19"/>
  <c r="AO8" i="19"/>
  <c r="AO14" i="19"/>
  <c r="AO6" i="19"/>
  <c r="AO31" i="19"/>
  <c r="AO37" i="19"/>
  <c r="AO46" i="19"/>
  <c r="AO13" i="19"/>
  <c r="AO19" i="19"/>
  <c r="AO45" i="19"/>
  <c r="AO32" i="19"/>
  <c r="AO41" i="19"/>
  <c r="AO36" i="19"/>
  <c r="AO35" i="19"/>
  <c r="AO34" i="19"/>
  <c r="AO29" i="19"/>
  <c r="AO28" i="19"/>
  <c r="AO24" i="19"/>
  <c r="AO43" i="19"/>
  <c r="AO42" i="19"/>
  <c r="AO33" i="19"/>
  <c r="AO38" i="19"/>
  <c r="AO15" i="19"/>
  <c r="AO17" i="19"/>
  <c r="AO16" i="19"/>
  <c r="AO21" i="19"/>
  <c r="AO12" i="19"/>
  <c r="AO40" i="19"/>
  <c r="AO20" i="19"/>
  <c r="AO22" i="19"/>
  <c r="AO25" i="19"/>
  <c r="AO10" i="19"/>
</calcChain>
</file>

<file path=xl/sharedStrings.xml><?xml version="1.0" encoding="utf-8"?>
<sst xmlns="http://schemas.openxmlformats.org/spreadsheetml/2006/main" count="1936" uniqueCount="452">
  <si>
    <t>Vārds</t>
  </si>
  <si>
    <t>Uzvārds</t>
  </si>
  <si>
    <t>Klubs</t>
  </si>
  <si>
    <t>Valsts</t>
  </si>
  <si>
    <t>Flash</t>
  </si>
  <si>
    <t>Redpoint</t>
  </si>
  <si>
    <t>Vieta</t>
  </si>
  <si>
    <t>Balles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</si>
  <si>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</si>
  <si>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</si>
  <si>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</si>
  <si>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</si>
  <si>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</si>
  <si>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</si>
  <si>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</si>
  <si>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</si>
  <si>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</si>
  <si>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</si>
  <si>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</si>
  <si>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</si>
  <si>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</si>
  <si>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</si>
  <si>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</si>
  <si>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</si>
  <si>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</si>
  <si>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</si>
  <si>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</si>
  <si>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</si>
  <si>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</si>
  <si>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</si>
  <si>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</si>
  <si>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</si>
  <si>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</si>
  <si>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Result</t>
  </si>
  <si>
    <t>T</t>
  </si>
  <si>
    <t>B</t>
  </si>
  <si>
    <t>Maršruta vērtība</t>
  </si>
  <si>
    <t>26</t>
  </si>
  <si>
    <t>27</t>
  </si>
  <si>
    <t>28</t>
  </si>
  <si>
    <t>29</t>
  </si>
  <si>
    <t>30</t>
  </si>
  <si>
    <t>Mens semifinal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</si>
  <si>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</si>
  <si>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</si>
  <si>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</si>
  <si>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</si>
  <si>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</si>
  <si>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</si>
  <si>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</si>
  <si>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</si>
  <si>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</si>
  <si>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</si>
  <si>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</si>
  <si>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</si>
  <si>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</si>
  <si>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</si>
  <si>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</si>
  <si>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</si>
  <si>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</si>
  <si>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</si>
  <si>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</si>
  <si>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</si>
  <si>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Womens semifinal</t>
  </si>
  <si>
    <t>Sportisti Womens final</t>
  </si>
  <si>
    <t>Sportisti Mens final</t>
  </si>
  <si>
    <t>Amatieri Womens final</t>
  </si>
  <si>
    <t>Amatieri Mens final</t>
  </si>
  <si>
    <t>name</t>
  </si>
  <si>
    <t>surname</t>
  </si>
  <si>
    <t>year</t>
  </si>
  <si>
    <t>group_age</t>
  </si>
  <si>
    <t>gender</t>
  </si>
  <si>
    <t>country</t>
  </si>
  <si>
    <t>city</t>
  </si>
  <si>
    <t>team</t>
  </si>
  <si>
    <t>Anastasija</t>
  </si>
  <si>
    <t>Teriochina</t>
  </si>
  <si>
    <t>A</t>
  </si>
  <si>
    <t>F</t>
  </si>
  <si>
    <t>LTU</t>
  </si>
  <si>
    <t>Klaipeda</t>
  </si>
  <si>
    <t>Scala Dream</t>
  </si>
  <si>
    <t>S</t>
  </si>
  <si>
    <t>Siarhei</t>
  </si>
  <si>
    <t>Fiadotau</t>
  </si>
  <si>
    <t>M</t>
  </si>
  <si>
    <t>BLR</t>
  </si>
  <si>
    <t>Babruysk</t>
  </si>
  <si>
    <t>Marina</t>
  </si>
  <si>
    <t>Khisamova</t>
  </si>
  <si>
    <t>RUS</t>
  </si>
  <si>
    <t>Moscow</t>
  </si>
  <si>
    <t>ponaehali</t>
  </si>
  <si>
    <t>Dmitry</t>
  </si>
  <si>
    <t>Govorushko</t>
  </si>
  <si>
    <t xml:space="preserve">Lyubertsy </t>
  </si>
  <si>
    <t>Ponaehali</t>
  </si>
  <si>
    <t>Pēteris</t>
  </si>
  <si>
    <t>Meirāns</t>
  </si>
  <si>
    <t>LVA</t>
  </si>
  <si>
    <t>Rīga</t>
  </si>
  <si>
    <t>Edgars</t>
  </si>
  <si>
    <t>Feldmanis</t>
  </si>
  <si>
    <t>C</t>
  </si>
  <si>
    <t>Daugmale</t>
  </si>
  <si>
    <t>Julius</t>
  </si>
  <si>
    <t>Sveikauskas</t>
  </si>
  <si>
    <t>Vilnius</t>
  </si>
  <si>
    <t>New York</t>
  </si>
  <si>
    <t>mark561</t>
  </si>
  <si>
    <t>mark56</t>
  </si>
  <si>
    <t>KCTEOVrXQWRdJWZh</t>
  </si>
  <si>
    <t>Katrīna</t>
  </si>
  <si>
    <t>Cirvele</t>
  </si>
  <si>
    <t>FBC DINGO</t>
  </si>
  <si>
    <t>Anton</t>
  </si>
  <si>
    <t>Kukhar</t>
  </si>
  <si>
    <t>UKR</t>
  </si>
  <si>
    <t>Kiev</t>
  </si>
  <si>
    <t>Karpin"s Team</t>
  </si>
  <si>
    <t>Sergii</t>
  </si>
  <si>
    <t>Karpin</t>
  </si>
  <si>
    <t>Alise</t>
  </si>
  <si>
    <t>Drozdova</t>
  </si>
  <si>
    <t>Skala</t>
  </si>
  <si>
    <t>Serhii</t>
  </si>
  <si>
    <t>Topishko</t>
  </si>
  <si>
    <t>Kyiv</t>
  </si>
  <si>
    <t>FASK</t>
  </si>
  <si>
    <t>Artūrs</t>
  </si>
  <si>
    <t>Dombrovskis</t>
  </si>
  <si>
    <t xml:space="preserve">Klāvs </t>
  </si>
  <si>
    <t>Kokins</t>
  </si>
  <si>
    <t>Andrejs</t>
  </si>
  <si>
    <t xml:space="preserve"> Derevjanko</t>
  </si>
  <si>
    <t>Kārlis</t>
  </si>
  <si>
    <t>Bergs</t>
  </si>
  <si>
    <t>Yeti Family</t>
  </si>
  <si>
    <t>Allans</t>
  </si>
  <si>
    <t>Sevišķis</t>
  </si>
  <si>
    <t>Luksis</t>
  </si>
  <si>
    <t>Ventspils</t>
  </si>
  <si>
    <t>Atsaite</t>
  </si>
  <si>
    <t>El Kiprito</t>
  </si>
  <si>
    <t>Baltrunas</t>
  </si>
  <si>
    <t>Scaladream</t>
  </si>
  <si>
    <t>Jānis Andersons</t>
  </si>
  <si>
    <t>Andersons</t>
  </si>
  <si>
    <t xml:space="preserve">Inta </t>
  </si>
  <si>
    <t>Ivanova</t>
  </si>
  <si>
    <t>BJC Daugmale/Marmot</t>
  </si>
  <si>
    <t>Alla</t>
  </si>
  <si>
    <t xml:space="preserve">Marenych </t>
  </si>
  <si>
    <t xml:space="preserve">Kharkov </t>
  </si>
  <si>
    <t>Kirovec</t>
  </si>
  <si>
    <t>Milda</t>
  </si>
  <si>
    <t>Koreivaitė</t>
  </si>
  <si>
    <t>Montis magia</t>
  </si>
  <si>
    <t>Evgeny</t>
  </si>
  <si>
    <t>Kachanovsky</t>
  </si>
  <si>
    <t>Minsk</t>
  </si>
  <si>
    <t>Han-Tengri</t>
  </si>
  <si>
    <t>Butanovs</t>
  </si>
  <si>
    <t>-</t>
  </si>
  <si>
    <t>Jurijs</t>
  </si>
  <si>
    <t>Volodjko</t>
  </si>
  <si>
    <t>Agniete</t>
  </si>
  <si>
    <t>Seibokaite</t>
  </si>
  <si>
    <t>Krasanovs</t>
  </si>
  <si>
    <t>Mikhail</t>
  </si>
  <si>
    <t>Kochetkov</t>
  </si>
  <si>
    <t>Tatjana</t>
  </si>
  <si>
    <t>Kochetkova</t>
  </si>
  <si>
    <t>Dmitrijs</t>
  </si>
  <si>
    <t>Ogurcovs</t>
  </si>
  <si>
    <t>Rolands</t>
  </si>
  <si>
    <t>Laganovskis</t>
  </si>
  <si>
    <t>KSC</t>
  </si>
  <si>
    <t>Laura</t>
  </si>
  <si>
    <t>Gaisina</t>
  </si>
  <si>
    <t>PES</t>
  </si>
  <si>
    <t>Ilze</t>
  </si>
  <si>
    <t>Vaivode</t>
  </si>
  <si>
    <t>Izolde</t>
  </si>
  <si>
    <t>D</t>
  </si>
  <si>
    <t>BJC Daugmale</t>
  </si>
  <si>
    <t>Evgeniy</t>
  </si>
  <si>
    <t>Ilyin</t>
  </si>
  <si>
    <t>Saint-Peterburg</t>
  </si>
  <si>
    <t>F**k the heel</t>
  </si>
  <si>
    <t>Roman</t>
  </si>
  <si>
    <t>Semenov</t>
  </si>
  <si>
    <t>St. Petersburg</t>
  </si>
  <si>
    <t>Tramontana</t>
  </si>
  <si>
    <t>Irina</t>
  </si>
  <si>
    <t>Somova</t>
  </si>
  <si>
    <t>Tatiana</t>
  </si>
  <si>
    <t>Lukoianova</t>
  </si>
  <si>
    <t>Mārtiņš</t>
  </si>
  <si>
    <t>Balodis</t>
  </si>
  <si>
    <t xml:space="preserve">Ieva </t>
  </si>
  <si>
    <t>Kalka</t>
  </si>
  <si>
    <t>Bosiha</t>
  </si>
  <si>
    <t>Traverss</t>
  </si>
  <si>
    <t>Oleksii</t>
  </si>
  <si>
    <t>Chenusha</t>
  </si>
  <si>
    <t>Vilimantas</t>
  </si>
  <si>
    <t>Petrasiunas</t>
  </si>
  <si>
    <t xml:space="preserve">Mad rock &amp; Nihil </t>
  </si>
  <si>
    <t>Ulla</t>
  </si>
  <si>
    <t>Freiberga</t>
  </si>
  <si>
    <t>Baloži</t>
  </si>
  <si>
    <t>Oksana</t>
  </si>
  <si>
    <t>Zagoruiko</t>
  </si>
  <si>
    <t>Aleksandrs</t>
  </si>
  <si>
    <t>Beļajevs</t>
  </si>
  <si>
    <t>Olga</t>
  </si>
  <si>
    <t>Paškova</t>
  </si>
  <si>
    <t>Arturas</t>
  </si>
  <si>
    <t>Volkovas</t>
  </si>
  <si>
    <t>Scala dream team</t>
  </si>
  <si>
    <t>Tarmo</t>
  </si>
  <si>
    <t>Kiik</t>
  </si>
  <si>
    <t>EST</t>
  </si>
  <si>
    <t>TALLINN</t>
  </si>
  <si>
    <t>Crux</t>
  </si>
  <si>
    <t>Shalia</t>
  </si>
  <si>
    <t>Klaipėda</t>
  </si>
  <si>
    <t>ScalaDream</t>
  </si>
  <si>
    <t>Luneva</t>
  </si>
  <si>
    <t>Vladimirs</t>
  </si>
  <si>
    <t>Stepanovs</t>
  </si>
  <si>
    <t>Valentina</t>
  </si>
  <si>
    <t>Chemiakina</t>
  </si>
  <si>
    <t>AigerVoid team</t>
  </si>
  <si>
    <t>Anna</t>
  </si>
  <si>
    <t>Krasanova</t>
  </si>
  <si>
    <t>Romanas</t>
  </si>
  <si>
    <t>Vasiuninas</t>
  </si>
  <si>
    <t>Eglė</t>
  </si>
  <si>
    <t>Dambrauskaitė</t>
  </si>
  <si>
    <t>Kaunas</t>
  </si>
  <si>
    <t>MD</t>
  </si>
  <si>
    <t>Jekaterina</t>
  </si>
  <si>
    <t>Koževņikova</t>
  </si>
  <si>
    <t>Normunds</t>
  </si>
  <si>
    <t>Laipnieks</t>
  </si>
  <si>
    <t>RAID.lv</t>
  </si>
  <si>
    <t xml:space="preserve">Ilnur </t>
  </si>
  <si>
    <t>Valiev</t>
  </si>
  <si>
    <t>Sankt-Peterburg</t>
  </si>
  <si>
    <t>Jānis</t>
  </si>
  <si>
    <t>Zuze</t>
  </si>
  <si>
    <t>Aleksandr</t>
  </si>
  <si>
    <t>Prohhorov</t>
  </si>
  <si>
    <t>Tallinn</t>
  </si>
  <si>
    <t>TKK</t>
  </si>
  <si>
    <t>Maksim</t>
  </si>
  <si>
    <t>Lind</t>
  </si>
  <si>
    <t>Krajuškina</t>
  </si>
  <si>
    <t>Ilja</t>
  </si>
  <si>
    <t>Gaiduk</t>
  </si>
  <si>
    <t>KKSK</t>
  </si>
  <si>
    <t>Madara</t>
  </si>
  <si>
    <t>Krūmiņa</t>
  </si>
  <si>
    <t>Juris</t>
  </si>
  <si>
    <t>Zīģelis</t>
  </si>
  <si>
    <t>Lūzumpunkts.lv</t>
  </si>
  <si>
    <t>Dzintars</t>
  </si>
  <si>
    <t>Irbe</t>
  </si>
  <si>
    <t>Saldus</t>
  </si>
  <si>
    <t>Novadnieki</t>
  </si>
  <si>
    <t>Keit</t>
  </si>
  <si>
    <t>Nurga</t>
  </si>
  <si>
    <t>Rakvere</t>
  </si>
  <si>
    <t>Nelson</t>
  </si>
  <si>
    <t>Semion</t>
  </si>
  <si>
    <t>Kozliuk</t>
  </si>
  <si>
    <t>Oskaras</t>
  </si>
  <si>
    <t>Mikelionis</t>
  </si>
  <si>
    <t>E</t>
  </si>
  <si>
    <t>Juste</t>
  </si>
  <si>
    <t xml:space="preserve">Zokaitė </t>
  </si>
  <si>
    <t xml:space="preserve">Vilnius </t>
  </si>
  <si>
    <t>Montis Magia team</t>
  </si>
  <si>
    <t>Justas</t>
  </si>
  <si>
    <t>Urbanavičius</t>
  </si>
  <si>
    <t>Montis Magia</t>
  </si>
  <si>
    <t xml:space="preserve">Alexey </t>
  </si>
  <si>
    <t xml:space="preserve">Samus </t>
  </si>
  <si>
    <t xml:space="preserve">Kyiv </t>
  </si>
  <si>
    <t xml:space="preserve">Scarpa </t>
  </si>
  <si>
    <t>Antons</t>
  </si>
  <si>
    <t>Dolgopolovs</t>
  </si>
  <si>
    <t xml:space="preserve">Jevgenijs </t>
  </si>
  <si>
    <t xml:space="preserve">Ņikitins </t>
  </si>
  <si>
    <t>Anastasiia</t>
  </si>
  <si>
    <t>Orlova</t>
  </si>
  <si>
    <t>Saint-Petersburg</t>
  </si>
  <si>
    <t>Bakanova</t>
  </si>
  <si>
    <t>Dmitrii</t>
  </si>
  <si>
    <t>Kornev</t>
  </si>
  <si>
    <t>Yulia</t>
  </si>
  <si>
    <t>Belyaeva</t>
  </si>
  <si>
    <t>Luch</t>
  </si>
  <si>
    <t>Vera</t>
  </si>
  <si>
    <t>Kornelija</t>
  </si>
  <si>
    <t>Poliakovaitė</t>
  </si>
  <si>
    <t>Žygimantas</t>
  </si>
  <si>
    <t>Bičkaitis</t>
  </si>
  <si>
    <t>Aistė</t>
  </si>
  <si>
    <t>Svinkūnaitė</t>
  </si>
  <si>
    <t>Aidė</t>
  </si>
  <si>
    <t>Mikailaitė</t>
  </si>
  <si>
    <t>Marleen</t>
  </si>
  <si>
    <t>Eelma</t>
  </si>
  <si>
    <t>Victoria</t>
  </si>
  <si>
    <t>Sanko</t>
  </si>
  <si>
    <t>Kristīne</t>
  </si>
  <si>
    <t>Rjabova</t>
  </si>
  <si>
    <t>Eduards</t>
  </si>
  <si>
    <t>Hrustaļovs</t>
  </si>
  <si>
    <t>Žukovs</t>
  </si>
  <si>
    <t>Goda</t>
  </si>
  <si>
    <t>Šimkonytė</t>
  </si>
  <si>
    <t>Auguste</t>
  </si>
  <si>
    <t>Stanionyte</t>
  </si>
  <si>
    <t>Martynas</t>
  </si>
  <si>
    <t>Balčiūnas</t>
  </si>
  <si>
    <t>Līna</t>
  </si>
  <si>
    <t>Kārkliņa</t>
  </si>
  <si>
    <t xml:space="preserve">Viesturs </t>
  </si>
  <si>
    <t xml:space="preserve">Luka-Indāns </t>
  </si>
  <si>
    <t xml:space="preserve">Daugmale </t>
  </si>
  <si>
    <t>Daugmale/Marmot</t>
  </si>
  <si>
    <t>Oskars Boriss</t>
  </si>
  <si>
    <t>Stankevics</t>
  </si>
  <si>
    <t>RSP</t>
  </si>
  <si>
    <t>Aigars</t>
  </si>
  <si>
    <t>Puriņš</t>
  </si>
  <si>
    <t>Evgenii</t>
  </si>
  <si>
    <t>Zazulin</t>
  </si>
  <si>
    <t>Kaliningrad</t>
  </si>
  <si>
    <t>Dtdim</t>
  </si>
  <si>
    <t>Vakaris</t>
  </si>
  <si>
    <t>Grigas</t>
  </si>
  <si>
    <t>Darija</t>
  </si>
  <si>
    <t>Andrianova</t>
  </si>
  <si>
    <t>Andrei</t>
  </si>
  <si>
    <t>Zalomin</t>
  </si>
  <si>
    <t>Modestas</t>
  </si>
  <si>
    <t>Klimavičius</t>
  </si>
  <si>
    <t xml:space="preserve">Georgijs </t>
  </si>
  <si>
    <t xml:space="preserve">Samoilenko </t>
  </si>
  <si>
    <t>Ignas</t>
  </si>
  <si>
    <t>Kisielius</t>
  </si>
  <si>
    <t>Mm</t>
  </si>
  <si>
    <t>Nauris</t>
  </si>
  <si>
    <t>Maslauskis</t>
  </si>
  <si>
    <t>Jūlija</t>
  </si>
  <si>
    <t>Popova</t>
  </si>
  <si>
    <t>Mikus</t>
  </si>
  <si>
    <t>Stašs</t>
  </si>
  <si>
    <t>Timurs</t>
  </si>
  <si>
    <t>Gaļejevs</t>
  </si>
  <si>
    <t>Kristaps</t>
  </si>
  <si>
    <t>Brūns</t>
  </si>
  <si>
    <t>BJC ,,Daugmale"</t>
  </si>
  <si>
    <t>Krista</t>
  </si>
  <si>
    <t>Dreimane</t>
  </si>
  <si>
    <t>Jelgava</t>
  </si>
  <si>
    <t>Kirill</t>
  </si>
  <si>
    <t>Bitkov</t>
  </si>
  <si>
    <t>Dominyka</t>
  </si>
  <si>
    <t>Kancytė</t>
  </si>
  <si>
    <t>Kozels</t>
  </si>
  <si>
    <t xml:space="preserve">Deniss </t>
  </si>
  <si>
    <t>Ciganovs</t>
  </si>
  <si>
    <t xml:space="preserve">Ksenija </t>
  </si>
  <si>
    <t>Dobrzinska</t>
  </si>
  <si>
    <t>Dmytro</t>
  </si>
  <si>
    <t>Gavrilenko</t>
  </si>
  <si>
    <t>Artems</t>
  </si>
  <si>
    <t>Andrejevs</t>
  </si>
  <si>
    <t>skala</t>
  </si>
  <si>
    <t>Signija</t>
  </si>
  <si>
    <t>Joce</t>
  </si>
  <si>
    <t xml:space="preserve">BJC Daugmale </t>
  </si>
  <si>
    <t>Jevgenijs</t>
  </si>
  <si>
    <t>Pavļučkovs</t>
  </si>
  <si>
    <t>Mountain.lv</t>
  </si>
  <si>
    <t>Ksenija</t>
  </si>
  <si>
    <t>Bobrovska</t>
  </si>
  <si>
    <t>GABRIELA</t>
  </si>
  <si>
    <t xml:space="preserve"> LIBERTE</t>
  </si>
  <si>
    <t>Gregory</t>
  </si>
  <si>
    <t>Shmigelskij</t>
  </si>
  <si>
    <t>Rīga-Spb</t>
  </si>
  <si>
    <t>MiG team</t>
  </si>
  <si>
    <t xml:space="preserve">Mārtiņš </t>
  </si>
  <si>
    <t>Aržanovskis</t>
  </si>
  <si>
    <t>Dāvids</t>
  </si>
  <si>
    <t>Zakrevskis</t>
  </si>
  <si>
    <t>Riga</t>
  </si>
  <si>
    <t>Šmidkens</t>
  </si>
  <si>
    <t>Vineta</t>
  </si>
  <si>
    <t>Kleinberga</t>
  </si>
  <si>
    <t>Sportisti/Amatieri</t>
  </si>
  <si>
    <t>Sets</t>
  </si>
  <si>
    <t>Edvards</t>
  </si>
  <si>
    <t>Gruzītis</t>
  </si>
  <si>
    <t xml:space="preserve">Jānis </t>
  </si>
  <si>
    <t>Derevjanko</t>
  </si>
  <si>
    <t>Gundars</t>
  </si>
  <si>
    <t>Leitis</t>
  </si>
  <si>
    <t>Igels</t>
  </si>
  <si>
    <t>Romans</t>
  </si>
  <si>
    <t>Pjahns</t>
  </si>
  <si>
    <t>Danila</t>
  </si>
  <si>
    <t>Yamchuk</t>
  </si>
  <si>
    <t>Prohorov</t>
  </si>
  <si>
    <t>Sandijs</t>
  </si>
  <si>
    <t>Jercums</t>
  </si>
  <si>
    <t>Valdis</t>
  </si>
  <si>
    <t>Irists</t>
  </si>
  <si>
    <t>Igors</t>
  </si>
  <si>
    <t>Jamčuks</t>
  </si>
  <si>
    <t>Agita</t>
  </si>
  <si>
    <t>Ēriks</t>
  </si>
  <si>
    <t>Usanovs</t>
  </si>
  <si>
    <t>Kipras</t>
  </si>
  <si>
    <t>Pilugins</t>
  </si>
  <si>
    <t>LIBERTE</t>
  </si>
  <si>
    <t>Rihards Uldis</t>
  </si>
  <si>
    <t>Sproģis</t>
  </si>
  <si>
    <t>Brocēni</t>
  </si>
  <si>
    <t>Aide</t>
  </si>
  <si>
    <t>Mikailaite</t>
  </si>
  <si>
    <t>Justine</t>
  </si>
  <si>
    <t>Zokaite</t>
  </si>
  <si>
    <t>Rezultāts</t>
  </si>
  <si>
    <t>Lukiojanova</t>
  </si>
  <si>
    <t>Koreivaite</t>
  </si>
  <si>
    <t>Marenych</t>
  </si>
  <si>
    <t>Inta</t>
  </si>
  <si>
    <t>Dobržinska</t>
  </si>
  <si>
    <t>Topi</t>
  </si>
  <si>
    <t>Bonusi</t>
  </si>
  <si>
    <t>Topi meg</t>
  </si>
  <si>
    <t>Bonusi meg</t>
  </si>
  <si>
    <t>Hisamova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</si>
</sst>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1" xfId="0" applyFill="1" applyBorder="1"/>
    <xf numFmtId="0" fontId="0" fillId="2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NumberForma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9" xfId="0" applyFill="1" applyBorder="1"/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NumberForma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9" xfId="0" applyNumberFormat="1" applyFill="1" applyBorder="1"/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14"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rgb="FF000000"/>
        </bottom>
      </border>
    </dxf>
    <dxf>
      <font>
        <b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rgb="FF000000"/>
        </bottom>
      </border>
    </dxf>
    <dxf>
      <font>
        <b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rgb="FF000000"/>
        </bottom>
      </border>
    </dxf>
    <dxf>
      <font>
        <b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rgb="FF000000"/>
        </bottom>
      </border>
    </dxf>
    <dxf>
      <font>
        <b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Table46232" displayName="Table46232" ref="A4:AO46" totalsRowShown="0" headerRowDxfId="213" dataDxfId="211" headerRowBorderDxfId="212" tableBorderDxfId="210" totalsRowBorderDxfId="209">
  <autoFilter ref="A4:AO46"/>
  <sortState ref="A5:AO46">
    <sortCondition descending="1" ref="AO4:AO46"/>
  </sortState>
  <tableColumns count="41">
    <tableColumn id="1" name="Vieta" dataDxfId="208"/>
    <tableColumn id="2" name="Vārds" dataDxfId="207"/>
    <tableColumn id="3" name="Uzvārds" dataDxfId="206"/>
    <tableColumn id="4" name="Valsts" dataDxfId="205"/>
    <tableColumn id="5" name="Klubs" dataDxfId="204"/>
    <tableColumn id="6" name="1" dataDxfId="203"/>
    <tableColumn id="7" name="2" dataDxfId="202"/>
    <tableColumn id="8" name="3" dataDxfId="201"/>
    <tableColumn id="9" name="4" dataDxfId="200"/>
    <tableColumn id="10" name="5" dataDxfId="199"/>
    <tableColumn id="11" name="6" dataDxfId="198"/>
    <tableColumn id="12" name="7" dataDxfId="197"/>
    <tableColumn id="13" name="8" dataDxfId="196"/>
    <tableColumn id="14" name="9" dataDxfId="195"/>
    <tableColumn id="15" name="10" dataDxfId="194"/>
    <tableColumn id="16" name="11" dataDxfId="193"/>
    <tableColumn id="17" name="12" dataDxfId="192"/>
    <tableColumn id="18" name="13" dataDxfId="191"/>
    <tableColumn id="19" name="14" dataDxfId="190"/>
    <tableColumn id="20" name="15" dataDxfId="189"/>
    <tableColumn id="21" name="16" dataDxfId="188"/>
    <tableColumn id="22" name="17" dataDxfId="187"/>
    <tableColumn id="23" name="18" dataDxfId="186"/>
    <tableColumn id="24" name="19" dataDxfId="185"/>
    <tableColumn id="25" name="20" dataDxfId="184"/>
    <tableColumn id="26" name="21" dataDxfId="183"/>
    <tableColumn id="27" name="22" dataDxfId="182"/>
    <tableColumn id="28" name="23" dataDxfId="181"/>
    <tableColumn id="29" name="24" dataDxfId="180"/>
    <tableColumn id="30" name="25" dataDxfId="179"/>
    <tableColumn id="31" name="26" dataDxfId="178"/>
    <tableColumn id="33" name="27" dataDxfId="177"/>
    <tableColumn id="34" name="28" dataDxfId="176"/>
    <tableColumn id="35" name="29" dataDxfId="175"/>
    <tableColumn id="36" name="30" dataDxfId="174"/>
    <tableColumn id="37" name="31" dataDxfId="173"/>
    <tableColumn id="38" name="32" dataDxfId="172"/>
    <tableColumn id="39" name="33" dataDxfId="171"/>
    <tableColumn id="40" name="34" dataDxfId="170"/>
    <tableColumn id="41" name="35" dataDxfId="169"/>
    <tableColumn id="32" name="Result" dataDxfId="168">
      <calculatedColumnFormula>SUMPRODUCT($F$2:$AN$2,Table46232[[#This Row],[1]:[35]])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Table462324" displayName="Table462324" ref="A4:BD33" totalsRowShown="0" headerRowDxfId="167" dataDxfId="165" headerRowBorderDxfId="166" tableBorderDxfId="164" totalsRowBorderDxfId="163">
  <autoFilter ref="A4:BD33"/>
  <sortState ref="A5:BD33">
    <sortCondition descending="1" ref="BD4:BD33"/>
  </sortState>
  <tableColumns count="56">
    <tableColumn id="1" name="Vieta" dataDxfId="162"/>
    <tableColumn id="2" name="Vārds" dataDxfId="161"/>
    <tableColumn id="3" name="Uzvārds" dataDxfId="160"/>
    <tableColumn id="4" name="Valsts" dataDxfId="159"/>
    <tableColumn id="5" name="Klubs" dataDxfId="158"/>
    <tableColumn id="6" name="1" dataDxfId="157"/>
    <tableColumn id="7" name="2" dataDxfId="156"/>
    <tableColumn id="8" name="3" dataDxfId="155"/>
    <tableColumn id="9" name="4" dataDxfId="154"/>
    <tableColumn id="10" name="5" dataDxfId="153"/>
    <tableColumn id="11" name="6" dataDxfId="152"/>
    <tableColumn id="12" name="7" dataDxfId="151"/>
    <tableColumn id="13" name="8" dataDxfId="150"/>
    <tableColumn id="14" name="9" dataDxfId="149"/>
    <tableColumn id="15" name="10" dataDxfId="148"/>
    <tableColumn id="16" name="11" dataDxfId="147"/>
    <tableColumn id="17" name="12" dataDxfId="146"/>
    <tableColumn id="18" name="13" dataDxfId="145"/>
    <tableColumn id="19" name="14" dataDxfId="144"/>
    <tableColumn id="20" name="15" dataDxfId="143"/>
    <tableColumn id="21" name="16" dataDxfId="142"/>
    <tableColumn id="22" name="17" dataDxfId="141"/>
    <tableColumn id="23" name="18" dataDxfId="140"/>
    <tableColumn id="24" name="19" dataDxfId="139"/>
    <tableColumn id="25" name="20" dataDxfId="138"/>
    <tableColumn id="26" name="21" dataDxfId="137"/>
    <tableColumn id="27" name="22" dataDxfId="136"/>
    <tableColumn id="28" name="23" dataDxfId="135"/>
    <tableColumn id="29" name="24" dataDxfId="134"/>
    <tableColumn id="30" name="25" dataDxfId="133"/>
    <tableColumn id="31" name="26" dataDxfId="132"/>
    <tableColumn id="33" name="27" dataDxfId="131"/>
    <tableColumn id="34" name="28" dataDxfId="130"/>
    <tableColumn id="35" name="29" dataDxfId="129"/>
    <tableColumn id="36" name="30" dataDxfId="128"/>
    <tableColumn id="37" name="31" dataDxfId="127"/>
    <tableColumn id="38" name="32" dataDxfId="126"/>
    <tableColumn id="39" name="33" dataDxfId="125"/>
    <tableColumn id="40" name="34" dataDxfId="124"/>
    <tableColumn id="41" name="35" dataDxfId="123"/>
    <tableColumn id="42" name="36" dataDxfId="122"/>
    <tableColumn id="43" name="37" dataDxfId="121"/>
    <tableColumn id="44" name="38" dataDxfId="120"/>
    <tableColumn id="45" name="39" dataDxfId="119"/>
    <tableColumn id="46" name="40" dataDxfId="118"/>
    <tableColumn id="47" name="41" dataDxfId="117"/>
    <tableColumn id="48" name="42" dataDxfId="116"/>
    <tableColumn id="49" name="43" dataDxfId="115"/>
    <tableColumn id="50" name="44" dataDxfId="114"/>
    <tableColumn id="51" name="45" dataDxfId="113"/>
    <tableColumn id="52" name="46" dataDxfId="112"/>
    <tableColumn id="53" name="47" dataDxfId="111"/>
    <tableColumn id="54" name="48" dataDxfId="110"/>
    <tableColumn id="55" name="49" dataDxfId="109"/>
    <tableColumn id="56" name="50" dataDxfId="108"/>
    <tableColumn id="32" name="Result" dataDxfId="107">
      <calculatedColumnFormula>SUMPRODUCT($F$2:$BC$2,Table462324[[#This Row],[1]:[50]])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2" name="Table4623" displayName="Table4623" ref="A4:AO24" totalsRowShown="0" headerRowDxfId="106" dataDxfId="104" headerRowBorderDxfId="105" tableBorderDxfId="103" totalsRowBorderDxfId="102">
  <autoFilter ref="A4:AO24"/>
  <sortState ref="A5:AO24">
    <sortCondition descending="1" ref="AO4:AO24"/>
  </sortState>
  <tableColumns count="41">
    <tableColumn id="1" name="Vieta" dataDxfId="101"/>
    <tableColumn id="2" name="Vārds" dataDxfId="100"/>
    <tableColumn id="3" name="Uzvārds" dataDxfId="99"/>
    <tableColumn id="4" name="Valsts" dataDxfId="98"/>
    <tableColumn id="5" name="Klubs" dataDxfId="97"/>
    <tableColumn id="6" name="1" dataDxfId="96"/>
    <tableColumn id="7" name="2" dataDxfId="95"/>
    <tableColumn id="8" name="3" dataDxfId="94"/>
    <tableColumn id="9" name="4" dataDxfId="93"/>
    <tableColumn id="10" name="5" dataDxfId="92"/>
    <tableColumn id="11" name="6" dataDxfId="91"/>
    <tableColumn id="12" name="7" dataDxfId="90"/>
    <tableColumn id="13" name="8" dataDxfId="89"/>
    <tableColumn id="14" name="9" dataDxfId="88"/>
    <tableColumn id="15" name="10" dataDxfId="87"/>
    <tableColumn id="16" name="11" dataDxfId="86"/>
    <tableColumn id="17" name="12" dataDxfId="85"/>
    <tableColumn id="18" name="13" dataDxfId="84"/>
    <tableColumn id="19" name="14" dataDxfId="83"/>
    <tableColumn id="20" name="15" dataDxfId="82"/>
    <tableColumn id="21" name="16" dataDxfId="81"/>
    <tableColumn id="22" name="17" dataDxfId="80"/>
    <tableColumn id="23" name="18" dataDxfId="79"/>
    <tableColumn id="24" name="19" dataDxfId="78"/>
    <tableColumn id="25" name="20" dataDxfId="77"/>
    <tableColumn id="26" name="21" dataDxfId="76"/>
    <tableColumn id="27" name="22" dataDxfId="75"/>
    <tableColumn id="28" name="23" dataDxfId="74"/>
    <tableColumn id="29" name="24" dataDxfId="73"/>
    <tableColumn id="30" name="25" dataDxfId="72"/>
    <tableColumn id="31" name="26" dataDxfId="71"/>
    <tableColumn id="33" name="27" dataDxfId="70"/>
    <tableColumn id="34" name="28" dataDxfId="69"/>
    <tableColumn id="35" name="29" dataDxfId="68"/>
    <tableColumn id="36" name="30" dataDxfId="67"/>
    <tableColumn id="37" name="31" dataDxfId="66"/>
    <tableColumn id="38" name="32" dataDxfId="65"/>
    <tableColumn id="39" name="33" dataDxfId="64"/>
    <tableColumn id="40" name="34" dataDxfId="63"/>
    <tableColumn id="41" name="35" dataDxfId="62"/>
    <tableColumn id="32" name="Result" dataDxfId="61">
      <calculatedColumnFormula>SUMPRODUCT($F$2:$AN$2,Table4623[[#This Row],[1]:[35]])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le46235" displayName="Table46235" ref="A4:BD24" totalsRowShown="0" headerRowDxfId="60" dataDxfId="58" headerRowBorderDxfId="59" tableBorderDxfId="57" totalsRowBorderDxfId="56">
  <autoFilter ref="A4:BD24"/>
  <sortState ref="A5:BD24">
    <sortCondition descending="1" ref="BD4:BD24"/>
  </sortState>
  <tableColumns count="56">
    <tableColumn id="1" name="Vieta" dataDxfId="55"/>
    <tableColumn id="2" name="Vārds" dataDxfId="54"/>
    <tableColumn id="3" name="Uzvārds" dataDxfId="53"/>
    <tableColumn id="4" name="Valsts" dataDxfId="52"/>
    <tableColumn id="5" name="Klubs" dataDxfId="51"/>
    <tableColumn id="6" name="1" dataDxfId="50"/>
    <tableColumn id="7" name="2" dataDxfId="49"/>
    <tableColumn id="8" name="3" dataDxfId="48"/>
    <tableColumn id="9" name="4" dataDxfId="47"/>
    <tableColumn id="10" name="5" dataDxfId="46"/>
    <tableColumn id="11" name="6" dataDxfId="45"/>
    <tableColumn id="12" name="7" dataDxfId="44"/>
    <tableColumn id="13" name="8" dataDxfId="43"/>
    <tableColumn id="14" name="9" dataDxfId="42"/>
    <tableColumn id="15" name="10" dataDxfId="41"/>
    <tableColumn id="16" name="11" dataDxfId="40"/>
    <tableColumn id="17" name="12" dataDxfId="39"/>
    <tableColumn id="18" name="13" dataDxfId="38"/>
    <tableColumn id="19" name="14" dataDxfId="37"/>
    <tableColumn id="20" name="15" dataDxfId="36"/>
    <tableColumn id="21" name="16" dataDxfId="35"/>
    <tableColumn id="22" name="17" dataDxfId="34"/>
    <tableColumn id="23" name="18" dataDxfId="33"/>
    <tableColumn id="24" name="19" dataDxfId="32"/>
    <tableColumn id="25" name="20" dataDxfId="31"/>
    <tableColumn id="26" name="21" dataDxfId="30"/>
    <tableColumn id="27" name="22" dataDxfId="29"/>
    <tableColumn id="28" name="23" dataDxfId="28"/>
    <tableColumn id="29" name="24" dataDxfId="27"/>
    <tableColumn id="30" name="25" dataDxfId="26"/>
    <tableColumn id="31" name="26" dataDxfId="25"/>
    <tableColumn id="33" name="27" dataDxfId="24"/>
    <tableColumn id="34" name="28" dataDxfId="23"/>
    <tableColumn id="35" name="29" dataDxfId="22"/>
    <tableColumn id="36" name="30" dataDxfId="21"/>
    <tableColumn id="37" name="31" dataDxfId="20"/>
    <tableColumn id="38" name="32" dataDxfId="19"/>
    <tableColumn id="39" name="33" dataDxfId="18"/>
    <tableColumn id="40" name="34" dataDxfId="17"/>
    <tableColumn id="41" name="35" dataDxfId="16"/>
    <tableColumn id="42" name="36" dataDxfId="15"/>
    <tableColumn id="43" name="37" dataDxfId="14"/>
    <tableColumn id="44" name="38" dataDxfId="13"/>
    <tableColumn id="45" name="39" dataDxfId="12"/>
    <tableColumn id="46" name="40" dataDxfId="11"/>
    <tableColumn id="47" name="41" dataDxfId="10"/>
    <tableColumn id="48" name="42" dataDxfId="9"/>
    <tableColumn id="49" name="43" dataDxfId="8"/>
    <tableColumn id="50" name="44" dataDxfId="7"/>
    <tableColumn id="51" name="45" dataDxfId="6"/>
    <tableColumn id="52" name="46" dataDxfId="5"/>
    <tableColumn id="53" name="47" dataDxfId="4"/>
    <tableColumn id="54" name="48" dataDxfId="3"/>
    <tableColumn id="55" name="49" dataDxfId="2"/>
    <tableColumn id="56" name="50" dataDxfId="1"/>
    <tableColumn id="32" name="Result" dataDxfId="0">
      <calculatedColumnFormula>SUMPRODUCT($F$2:$BC$2,Table46235[[#This Row],[1]:[50]])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J132" totalsRowShown="0">
  <autoFilter ref="A1:J132"/>
  <sortState ref="A2:J132">
    <sortCondition ref="I1:I132"/>
  </sortState>
  <tableColumns count="10">
    <tableColumn id="1" name="name"/>
    <tableColumn id="2" name="surname"/>
    <tableColumn id="6" name="country"/>
    <tableColumn id="8" name="team"/>
    <tableColumn id="7" name="city"/>
    <tableColumn id="3" name="year"/>
    <tableColumn id="4" name="group_age"/>
    <tableColumn id="5" name="gender"/>
    <tableColumn id="9" name="Sets"/>
    <tableColumn id="10" name="Sportisti/Amatieri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6"/>
  <sheetViews>
    <sheetView topLeftCell="A4" workbookViewId="0">
      <selection activeCell="B5" sqref="B5:E20"/>
    </sheetView>
  </sheetViews>
  <sheetFormatPr defaultRowHeight="15" outlineLevelRow="1" outlineLevelCol="1" x14ac:dyDescent="0.25"/>
  <cols>
    <col min="1" max="1" width="7.85546875" customWidth="1"/>
    <col min="2" max="2" width="10.85546875" bestFit="1" customWidth="1"/>
    <col min="3" max="3" width="13.140625" bestFit="1" customWidth="1"/>
    <col min="4" max="4" width="9.140625" bestFit="1" customWidth="1"/>
    <col min="5" max="5" width="20.42578125" bestFit="1" customWidth="1"/>
    <col min="6" max="14" width="4.140625" hidden="1" customWidth="1" outlineLevel="1"/>
    <col min="15" max="40" width="5.140625" hidden="1" customWidth="1" outlineLevel="1"/>
    <col min="41" max="41" width="9.140625" customWidth="1" collapsed="1"/>
  </cols>
  <sheetData>
    <row r="1" spans="1:41" hidden="1" outlineLevel="1" x14ac:dyDescent="0.25">
      <c r="A1" t="s">
        <v>7</v>
      </c>
      <c r="B1">
        <v>100</v>
      </c>
    </row>
    <row r="2" spans="1:41" hidden="1" outlineLevel="1" x14ac:dyDescent="0.25">
      <c r="A2" s="35" t="s">
        <v>36</v>
      </c>
      <c r="B2" s="35"/>
      <c r="C2" s="35"/>
      <c r="D2" s="35"/>
      <c r="E2" s="35"/>
      <c r="F2">
        <f>IFERROR($B$1/COUNT(Table46232[1]),0)</f>
        <v>100</v>
      </c>
      <c r="G2">
        <f>IFERROR($B$1/COUNT(Table46232[2]),0)</f>
        <v>100</v>
      </c>
      <c r="H2">
        <f>IFERROR($B$1/COUNT(Table46232[3]),0)</f>
        <v>33.333333333333336</v>
      </c>
      <c r="I2">
        <f>IFERROR($B$1/COUNT(Table46232[4]),0)</f>
        <v>14.285714285714286</v>
      </c>
      <c r="J2">
        <f>IFERROR($B$1/COUNT(Table46232[5]),0)</f>
        <v>8.3333333333333339</v>
      </c>
      <c r="K2">
        <f>IFERROR($B$1/COUNT(Table46232[6]),0)</f>
        <v>7.1428571428571432</v>
      </c>
      <c r="L2">
        <f>IFERROR($B$1/COUNT(Table46232[7]),0)</f>
        <v>3.8461538461538463</v>
      </c>
      <c r="M2">
        <f>IFERROR($B$1/COUNT(Table46232[8]),0)</f>
        <v>3.5714285714285716</v>
      </c>
      <c r="N2">
        <f>IFERROR($B$1/COUNT(Table46232[9]),0)</f>
        <v>4.166666666666667</v>
      </c>
      <c r="O2">
        <f>IFERROR($B$1/COUNT(Table46232[10]),0)</f>
        <v>5</v>
      </c>
      <c r="P2">
        <f>IFERROR($B$1/COUNT(Table46232[11]),0)</f>
        <v>4</v>
      </c>
      <c r="Q2">
        <f>IFERROR($B$1/COUNT(Table46232[12]),0)</f>
        <v>3.8461538461538463</v>
      </c>
      <c r="R2">
        <f>IFERROR($B$1/COUNT(Table46232[13]),0)</f>
        <v>4</v>
      </c>
      <c r="S2">
        <f>IFERROR($B$1/COUNT(Table46232[14]),0)</f>
        <v>3.125</v>
      </c>
      <c r="T2">
        <f>IFERROR($B$1/COUNT(Table46232[15]),0)</f>
        <v>3.125</v>
      </c>
      <c r="U2">
        <f>IFERROR($B$1/COUNT(Table46232[16]),0)</f>
        <v>2.7027027027027026</v>
      </c>
      <c r="V2">
        <f>IFERROR($B$1/COUNT(Table46232[17]),0)</f>
        <v>3.225806451612903</v>
      </c>
      <c r="W2">
        <f>IFERROR($B$1/COUNT(Table46232[18]),0)</f>
        <v>2.9411764705882355</v>
      </c>
      <c r="X2">
        <f>IFERROR($B$1/COUNT(Table46232[19]),0)</f>
        <v>3.0303030303030303</v>
      </c>
      <c r="Y2">
        <f>IFERROR($B$1/COUNT(Table46232[20]),0)</f>
        <v>2.7777777777777777</v>
      </c>
      <c r="Z2">
        <f>IFERROR($B$1/COUNT(Table46232[21]),0)</f>
        <v>3.5714285714285716</v>
      </c>
      <c r="AA2">
        <f>IFERROR($B$1/COUNT(Table46232[22]),0)</f>
        <v>2.5641025641025643</v>
      </c>
      <c r="AB2">
        <f>IFERROR($B$1/COUNT(Table46232[23]),0)</f>
        <v>2.5641025641025643</v>
      </c>
      <c r="AC2">
        <f>IFERROR($B$1/COUNT(Table46232[24]),0)</f>
        <v>2.6315789473684212</v>
      </c>
      <c r="AD2">
        <f>IFERROR($B$1/COUNT(Table46232[25]),0)</f>
        <v>2.6315789473684212</v>
      </c>
      <c r="AE2">
        <f>IFERROR($B$1/COUNT(Table46232[26]),0)</f>
        <v>2.6315789473684212</v>
      </c>
      <c r="AF2">
        <f>IFERROR($B$1/COUNT(Table46232[27]),0)</f>
        <v>2.7027027027027026</v>
      </c>
      <c r="AG2">
        <f>IFERROR($B$1/COUNT(Table46232[28]),0)</f>
        <v>2.7027027027027026</v>
      </c>
      <c r="AH2">
        <f>IFERROR($B$1/COUNT(Table46232[29]),0)</f>
        <v>2.8571428571428572</v>
      </c>
      <c r="AI2">
        <f>IFERROR($B$1/COUNT(Table46232[30]),0)</f>
        <v>2.7777777777777777</v>
      </c>
      <c r="AJ2">
        <f>IFERROR($B$1/COUNT(Table46232[31]),0)</f>
        <v>2.3809523809523809</v>
      </c>
      <c r="AK2">
        <f>IFERROR($B$1/COUNT(Table46232[32]),0)</f>
        <v>2.5</v>
      </c>
      <c r="AL2">
        <f>IFERROR($B$1/COUNT(Table46232[33]),0)</f>
        <v>2.8571428571428572</v>
      </c>
      <c r="AM2">
        <f>IFERROR($B$1/COUNT(Table46232[34]),0)</f>
        <v>2.7777777777777777</v>
      </c>
      <c r="AN2">
        <f>IFERROR($B$1/COUNT(Table46232[35]),0)</f>
        <v>2.7777777777777777</v>
      </c>
    </row>
    <row r="3" spans="1:41" hidden="1" outlineLevel="1" x14ac:dyDescent="0.25">
      <c r="A3" t="s">
        <v>4</v>
      </c>
      <c r="B3">
        <v>1.3</v>
      </c>
      <c r="C3" t="s">
        <v>5</v>
      </c>
      <c r="D3">
        <v>1</v>
      </c>
    </row>
    <row r="4" spans="1:41" collapsed="1" x14ac:dyDescent="0.25">
      <c r="A4" s="2" t="s">
        <v>6</v>
      </c>
      <c r="B4" s="3" t="s">
        <v>0</v>
      </c>
      <c r="C4" s="3" t="s">
        <v>1</v>
      </c>
      <c r="D4" s="3" t="s">
        <v>3</v>
      </c>
      <c r="E4" s="3" t="s">
        <v>2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  <c r="M4" s="3" t="s">
        <v>15</v>
      </c>
      <c r="N4" s="3" t="s">
        <v>16</v>
      </c>
      <c r="O4" s="3" t="s">
        <v>17</v>
      </c>
      <c r="P4" s="3" t="s">
        <v>18</v>
      </c>
      <c r="Q4" s="3" t="s">
        <v>19</v>
      </c>
      <c r="R4" s="3" t="s">
        <v>20</v>
      </c>
      <c r="S4" s="3" t="s">
        <v>21</v>
      </c>
      <c r="T4" s="3" t="s">
        <v>22</v>
      </c>
      <c r="U4" s="3" t="s">
        <v>23</v>
      </c>
      <c r="V4" s="3" t="s">
        <v>24</v>
      </c>
      <c r="W4" s="3" t="s">
        <v>25</v>
      </c>
      <c r="X4" s="3" t="s">
        <v>26</v>
      </c>
      <c r="Y4" s="3" t="s">
        <v>27</v>
      </c>
      <c r="Z4" s="3" t="s">
        <v>28</v>
      </c>
      <c r="AA4" s="3" t="s">
        <v>29</v>
      </c>
      <c r="AB4" s="3" t="s">
        <v>30</v>
      </c>
      <c r="AC4" s="3" t="s">
        <v>31</v>
      </c>
      <c r="AD4" s="3" t="s">
        <v>32</v>
      </c>
      <c r="AE4" s="4" t="s">
        <v>37</v>
      </c>
      <c r="AF4" s="4" t="s">
        <v>38</v>
      </c>
      <c r="AG4" s="4" t="s">
        <v>39</v>
      </c>
      <c r="AH4" s="4" t="s">
        <v>40</v>
      </c>
      <c r="AI4" s="4" t="s">
        <v>41</v>
      </c>
      <c r="AJ4" s="4" t="s">
        <v>43</v>
      </c>
      <c r="AK4" s="4" t="s">
        <v>44</v>
      </c>
      <c r="AL4" s="4" t="s">
        <v>45</v>
      </c>
      <c r="AM4" s="4" t="s">
        <v>46</v>
      </c>
      <c r="AN4" s="4" t="s">
        <v>47</v>
      </c>
      <c r="AO4" s="4" t="s">
        <v>33</v>
      </c>
    </row>
    <row r="5" spans="1:41" x14ac:dyDescent="0.25">
      <c r="A5" s="24">
        <v>1</v>
      </c>
      <c r="B5" s="6" t="s">
        <v>165</v>
      </c>
      <c r="C5" s="6" t="s">
        <v>169</v>
      </c>
      <c r="D5" s="6" t="s">
        <v>100</v>
      </c>
      <c r="E5" s="6" t="s">
        <v>125</v>
      </c>
      <c r="F5" s="6"/>
      <c r="G5" s="6">
        <v>1</v>
      </c>
      <c r="H5" s="6">
        <v>1</v>
      </c>
      <c r="I5" s="6">
        <v>1</v>
      </c>
      <c r="J5" s="6">
        <v>1.3</v>
      </c>
      <c r="K5" s="6">
        <v>1.3</v>
      </c>
      <c r="L5" s="6">
        <v>1.3</v>
      </c>
      <c r="M5" s="6">
        <v>1.3</v>
      </c>
      <c r="N5" s="6">
        <v>1.3</v>
      </c>
      <c r="O5" s="6">
        <v>1.3</v>
      </c>
      <c r="P5" s="6">
        <v>1.3</v>
      </c>
      <c r="Q5" s="6">
        <v>1.3</v>
      </c>
      <c r="R5" s="6">
        <v>1.3</v>
      </c>
      <c r="S5" s="6">
        <v>1.3</v>
      </c>
      <c r="T5" s="6">
        <v>1.3</v>
      </c>
      <c r="U5" s="6">
        <v>1.3</v>
      </c>
      <c r="V5" s="6">
        <v>1.3</v>
      </c>
      <c r="W5" s="6">
        <v>1.3</v>
      </c>
      <c r="X5" s="6">
        <v>1.3</v>
      </c>
      <c r="Y5" s="6">
        <v>1.3</v>
      </c>
      <c r="Z5" s="6">
        <v>1.3</v>
      </c>
      <c r="AA5" s="6">
        <v>1.3</v>
      </c>
      <c r="AB5" s="6">
        <v>1.3</v>
      </c>
      <c r="AC5" s="6">
        <v>1.3</v>
      </c>
      <c r="AD5" s="6">
        <v>1.3</v>
      </c>
      <c r="AE5" s="25">
        <v>1.3</v>
      </c>
      <c r="AF5" s="25">
        <v>1.3</v>
      </c>
      <c r="AG5" s="25">
        <v>1.3</v>
      </c>
      <c r="AH5" s="25">
        <v>1.3</v>
      </c>
      <c r="AI5" s="25">
        <v>1.3</v>
      </c>
      <c r="AJ5" s="25">
        <v>1.3</v>
      </c>
      <c r="AK5" s="25">
        <v>1.3</v>
      </c>
      <c r="AL5" s="25">
        <v>1.3</v>
      </c>
      <c r="AM5" s="25">
        <v>1.3</v>
      </c>
      <c r="AN5" s="25">
        <v>1.3</v>
      </c>
      <c r="AO5" s="26">
        <f>SUMPRODUCT($F$2:$AN$2,Table46232[[#This Row],[1]:[35]])</f>
        <v>285.11056699892953</v>
      </c>
    </row>
    <row r="6" spans="1:41" x14ac:dyDescent="0.25">
      <c r="A6" s="27">
        <v>2</v>
      </c>
      <c r="B6" s="28" t="s">
        <v>170</v>
      </c>
      <c r="C6" s="28" t="s">
        <v>171</v>
      </c>
      <c r="D6" s="28" t="s">
        <v>80</v>
      </c>
      <c r="E6" s="28" t="s">
        <v>82</v>
      </c>
      <c r="F6" s="28">
        <v>1</v>
      </c>
      <c r="G6" s="28"/>
      <c r="H6" s="28">
        <v>1</v>
      </c>
      <c r="I6" s="28">
        <v>1</v>
      </c>
      <c r="J6" s="28">
        <v>1.3</v>
      </c>
      <c r="K6" s="28">
        <v>1</v>
      </c>
      <c r="L6" s="28">
        <v>1.3</v>
      </c>
      <c r="M6" s="28">
        <v>1.3</v>
      </c>
      <c r="N6" s="28">
        <v>1.3</v>
      </c>
      <c r="O6" s="28">
        <v>1.3</v>
      </c>
      <c r="P6" s="28">
        <v>1.3</v>
      </c>
      <c r="Q6" s="28">
        <v>1.3</v>
      </c>
      <c r="R6" s="28">
        <v>1.3</v>
      </c>
      <c r="S6" s="28">
        <v>1.3</v>
      </c>
      <c r="T6" s="28">
        <v>1.3</v>
      </c>
      <c r="U6" s="28">
        <v>1.3</v>
      </c>
      <c r="V6" s="28">
        <v>1.3</v>
      </c>
      <c r="W6" s="28">
        <v>1.3</v>
      </c>
      <c r="X6" s="28">
        <v>1.3</v>
      </c>
      <c r="Y6" s="28">
        <v>1.3</v>
      </c>
      <c r="Z6" s="28">
        <v>1.3</v>
      </c>
      <c r="AA6" s="28">
        <v>1.3</v>
      </c>
      <c r="AB6" s="28">
        <v>1.3</v>
      </c>
      <c r="AC6" s="28">
        <v>1.3</v>
      </c>
      <c r="AD6" s="28">
        <v>1.3</v>
      </c>
      <c r="AE6" s="29">
        <v>1.3</v>
      </c>
      <c r="AF6" s="29">
        <v>1.3</v>
      </c>
      <c r="AG6" s="29">
        <v>1.3</v>
      </c>
      <c r="AH6" s="29">
        <v>1.3</v>
      </c>
      <c r="AI6" s="29">
        <v>1.3</v>
      </c>
      <c r="AJ6" s="29">
        <v>1.3</v>
      </c>
      <c r="AK6" s="29">
        <v>1.3</v>
      </c>
      <c r="AL6" s="29">
        <v>1.3</v>
      </c>
      <c r="AM6" s="29">
        <v>1.3</v>
      </c>
      <c r="AN6" s="29">
        <v>1.3</v>
      </c>
      <c r="AO6" s="30">
        <f>SUMPRODUCT($F$2:$AN$2,Table46232[[#This Row],[1]:[35]])</f>
        <v>282.96770985607242</v>
      </c>
    </row>
    <row r="7" spans="1:41" x14ac:dyDescent="0.25">
      <c r="A7" s="24">
        <v>3</v>
      </c>
      <c r="B7" s="28" t="s">
        <v>431</v>
      </c>
      <c r="C7" s="28" t="s">
        <v>145</v>
      </c>
      <c r="D7" s="28" t="s">
        <v>80</v>
      </c>
      <c r="E7" s="28"/>
      <c r="F7" s="28"/>
      <c r="G7" s="28"/>
      <c r="H7" s="28">
        <v>1.3</v>
      </c>
      <c r="I7" s="28">
        <v>1</v>
      </c>
      <c r="J7" s="28">
        <v>1.3</v>
      </c>
      <c r="K7" s="28">
        <v>1</v>
      </c>
      <c r="L7" s="28">
        <v>1.3</v>
      </c>
      <c r="M7" s="28">
        <v>1.3</v>
      </c>
      <c r="N7" s="28">
        <v>1.3</v>
      </c>
      <c r="O7" s="28">
        <v>1.3</v>
      </c>
      <c r="P7" s="28">
        <v>1.3</v>
      </c>
      <c r="Q7" s="28">
        <v>1.3</v>
      </c>
      <c r="R7" s="28">
        <v>1.3</v>
      </c>
      <c r="S7" s="28">
        <v>1.3</v>
      </c>
      <c r="T7" s="28">
        <v>1.3</v>
      </c>
      <c r="U7" s="28">
        <v>1.3</v>
      </c>
      <c r="V7" s="28">
        <v>1.3</v>
      </c>
      <c r="W7" s="28">
        <v>1.3</v>
      </c>
      <c r="X7" s="28">
        <v>1.3</v>
      </c>
      <c r="Y7" s="28">
        <v>1.3</v>
      </c>
      <c r="Z7" s="28">
        <v>1.3</v>
      </c>
      <c r="AA7" s="28">
        <v>1.3</v>
      </c>
      <c r="AB7" s="28">
        <v>1.3</v>
      </c>
      <c r="AC7" s="28">
        <v>1.3</v>
      </c>
      <c r="AD7" s="28">
        <v>1.3</v>
      </c>
      <c r="AE7" s="29">
        <v>1.3</v>
      </c>
      <c r="AF7" s="29">
        <v>1.3</v>
      </c>
      <c r="AG7" s="29">
        <v>1.3</v>
      </c>
      <c r="AH7" s="29">
        <v>1.3</v>
      </c>
      <c r="AI7" s="29">
        <v>1.3</v>
      </c>
      <c r="AJ7" s="29">
        <v>1.3</v>
      </c>
      <c r="AK7" s="29">
        <v>1.3</v>
      </c>
      <c r="AL7" s="29">
        <v>1.3</v>
      </c>
      <c r="AM7" s="29">
        <v>1.3</v>
      </c>
      <c r="AN7" s="29">
        <v>1.3</v>
      </c>
      <c r="AO7" s="30">
        <f>SUMPRODUCT($F$2:$AN$2,Table46232[[#This Row],[1]:[35]])</f>
        <v>192.96770985607256</v>
      </c>
    </row>
    <row r="8" spans="1:41" x14ac:dyDescent="0.25">
      <c r="A8" s="27">
        <v>4</v>
      </c>
      <c r="B8" s="28" t="s">
        <v>341</v>
      </c>
      <c r="C8" s="28" t="s">
        <v>342</v>
      </c>
      <c r="D8" s="28" t="s">
        <v>91</v>
      </c>
      <c r="E8" s="28" t="s">
        <v>344</v>
      </c>
      <c r="F8" s="28"/>
      <c r="G8" s="28"/>
      <c r="H8" s="28"/>
      <c r="I8" s="28">
        <v>1</v>
      </c>
      <c r="J8" s="28">
        <v>1.3</v>
      </c>
      <c r="K8" s="28">
        <v>1.3</v>
      </c>
      <c r="L8" s="28">
        <v>1.3</v>
      </c>
      <c r="M8" s="28">
        <v>1.3</v>
      </c>
      <c r="N8" s="28">
        <v>1.3</v>
      </c>
      <c r="O8" s="28">
        <v>1.3</v>
      </c>
      <c r="P8" s="28">
        <v>1.3</v>
      </c>
      <c r="Q8" s="28">
        <v>1.3</v>
      </c>
      <c r="R8" s="28">
        <v>1.3</v>
      </c>
      <c r="S8" s="28">
        <v>1.3</v>
      </c>
      <c r="T8" s="28">
        <v>1.3</v>
      </c>
      <c r="U8" s="28">
        <v>1.3</v>
      </c>
      <c r="V8" s="28">
        <v>1.3</v>
      </c>
      <c r="W8" s="28">
        <v>1.3</v>
      </c>
      <c r="X8" s="28">
        <v>1.3</v>
      </c>
      <c r="Y8" s="28">
        <v>1.3</v>
      </c>
      <c r="Z8" s="28">
        <v>1.3</v>
      </c>
      <c r="AA8" s="28">
        <v>1.3</v>
      </c>
      <c r="AB8" s="28">
        <v>1.3</v>
      </c>
      <c r="AC8" s="28">
        <v>1</v>
      </c>
      <c r="AD8" s="28">
        <v>1.3</v>
      </c>
      <c r="AE8" s="29">
        <v>1.3</v>
      </c>
      <c r="AF8" s="29">
        <v>1.3</v>
      </c>
      <c r="AG8" s="29">
        <v>1.3</v>
      </c>
      <c r="AH8" s="29">
        <v>1.3</v>
      </c>
      <c r="AI8" s="29">
        <v>1.3</v>
      </c>
      <c r="AJ8" s="29">
        <v>1.3</v>
      </c>
      <c r="AK8" s="29">
        <v>1.3</v>
      </c>
      <c r="AL8" s="29">
        <v>1.3</v>
      </c>
      <c r="AM8" s="29">
        <v>1.3</v>
      </c>
      <c r="AN8" s="29">
        <v>1.3</v>
      </c>
      <c r="AO8" s="30">
        <f>SUMPRODUCT($F$2:$AN$2,Table46232[[#This Row],[1]:[35]])</f>
        <v>150.98775998138578</v>
      </c>
    </row>
    <row r="9" spans="1:41" x14ac:dyDescent="0.25">
      <c r="A9" s="24">
        <v>5</v>
      </c>
      <c r="B9" s="28" t="s">
        <v>207</v>
      </c>
      <c r="C9" s="28" t="s">
        <v>208</v>
      </c>
      <c r="D9" s="28" t="s">
        <v>80</v>
      </c>
      <c r="E9" s="28" t="s">
        <v>209</v>
      </c>
      <c r="F9" s="28"/>
      <c r="G9" s="28"/>
      <c r="H9" s="28"/>
      <c r="I9" s="28">
        <v>1</v>
      </c>
      <c r="J9" s="28">
        <v>1.3</v>
      </c>
      <c r="K9" s="28">
        <v>1.3</v>
      </c>
      <c r="L9" s="28">
        <v>1</v>
      </c>
      <c r="M9" s="28">
        <v>1.3</v>
      </c>
      <c r="N9" s="28">
        <v>1.3</v>
      </c>
      <c r="O9" s="28">
        <v>1.3</v>
      </c>
      <c r="P9" s="28">
        <v>1.3</v>
      </c>
      <c r="Q9" s="28">
        <v>1</v>
      </c>
      <c r="R9" s="28">
        <v>1.3</v>
      </c>
      <c r="S9" s="28">
        <v>1.3</v>
      </c>
      <c r="T9" s="28">
        <v>1.3</v>
      </c>
      <c r="U9" s="28">
        <v>1.3</v>
      </c>
      <c r="V9" s="28">
        <v>1.3</v>
      </c>
      <c r="W9" s="28">
        <v>1.3</v>
      </c>
      <c r="X9" s="28">
        <v>1.3</v>
      </c>
      <c r="Y9" s="28">
        <v>1.3</v>
      </c>
      <c r="Z9" s="28">
        <v>1.3</v>
      </c>
      <c r="AA9" s="28">
        <v>1.3</v>
      </c>
      <c r="AB9" s="28">
        <v>1.3</v>
      </c>
      <c r="AC9" s="28">
        <v>1.3</v>
      </c>
      <c r="AD9" s="28">
        <v>1.3</v>
      </c>
      <c r="AE9" s="29">
        <v>1.3</v>
      </c>
      <c r="AF9" s="29">
        <v>1.3</v>
      </c>
      <c r="AG9" s="29">
        <v>1.3</v>
      </c>
      <c r="AH9" s="29">
        <v>1.3</v>
      </c>
      <c r="AI9" s="29">
        <v>1.3</v>
      </c>
      <c r="AJ9" s="29">
        <v>1.3</v>
      </c>
      <c r="AK9" s="29">
        <v>1.3</v>
      </c>
      <c r="AL9" s="29">
        <v>1.3</v>
      </c>
      <c r="AM9" s="29">
        <v>1.3</v>
      </c>
      <c r="AN9" s="29">
        <v>1.3</v>
      </c>
      <c r="AO9" s="30">
        <f>SUMPRODUCT($F$2:$AN$2,Table46232[[#This Row],[1]:[35]])</f>
        <v>149.46954135790401</v>
      </c>
    </row>
    <row r="10" spans="1:41" x14ac:dyDescent="0.25">
      <c r="A10" s="24">
        <v>6</v>
      </c>
      <c r="B10" s="28" t="s">
        <v>219</v>
      </c>
      <c r="C10" s="28" t="s">
        <v>220</v>
      </c>
      <c r="D10" s="28" t="s">
        <v>80</v>
      </c>
      <c r="E10" s="28" t="s">
        <v>221</v>
      </c>
      <c r="F10" s="28"/>
      <c r="G10" s="28"/>
      <c r="H10" s="28"/>
      <c r="I10" s="28">
        <v>1</v>
      </c>
      <c r="J10" s="28">
        <v>1</v>
      </c>
      <c r="K10" s="28">
        <v>1</v>
      </c>
      <c r="L10" s="28">
        <v>1</v>
      </c>
      <c r="M10" s="28">
        <v>1.3</v>
      </c>
      <c r="N10" s="28">
        <v>1</v>
      </c>
      <c r="O10" s="28">
        <v>1.3</v>
      </c>
      <c r="P10" s="28">
        <v>1.3</v>
      </c>
      <c r="Q10" s="28">
        <v>1.3</v>
      </c>
      <c r="R10" s="28">
        <v>1.3</v>
      </c>
      <c r="S10" s="28">
        <v>1.3</v>
      </c>
      <c r="T10" s="28">
        <v>1.3</v>
      </c>
      <c r="U10" s="28">
        <v>1.3</v>
      </c>
      <c r="V10" s="28">
        <v>1.3</v>
      </c>
      <c r="W10" s="28">
        <v>1.3</v>
      </c>
      <c r="X10" s="28">
        <v>1.3</v>
      </c>
      <c r="Y10" s="28">
        <v>1.3</v>
      </c>
      <c r="Z10" s="28">
        <v>1.3</v>
      </c>
      <c r="AA10" s="28">
        <v>1.3</v>
      </c>
      <c r="AB10" s="28">
        <v>1.3</v>
      </c>
      <c r="AC10" s="28">
        <v>1.3</v>
      </c>
      <c r="AD10" s="28">
        <v>1</v>
      </c>
      <c r="AE10" s="29">
        <v>1</v>
      </c>
      <c r="AF10" s="29">
        <v>1.3</v>
      </c>
      <c r="AG10" s="29">
        <v>1.3</v>
      </c>
      <c r="AH10" s="29">
        <v>1.3</v>
      </c>
      <c r="AI10" s="29">
        <v>1.3</v>
      </c>
      <c r="AJ10" s="29">
        <v>1.3</v>
      </c>
      <c r="AK10" s="29">
        <v>1.3</v>
      </c>
      <c r="AL10" s="29">
        <v>1.3</v>
      </c>
      <c r="AM10" s="29">
        <v>1.3</v>
      </c>
      <c r="AN10" s="29">
        <v>1.3</v>
      </c>
      <c r="AO10" s="30">
        <f>SUMPRODUCT($F$2:$AN$2,Table46232[[#This Row],[1]:[35]])</f>
        <v>143.15158300047196</v>
      </c>
    </row>
    <row r="11" spans="1:41" x14ac:dyDescent="0.25">
      <c r="A11" s="27">
        <v>7</v>
      </c>
      <c r="B11" s="28" t="s">
        <v>355</v>
      </c>
      <c r="C11" s="28" t="s">
        <v>356</v>
      </c>
      <c r="D11" s="28" t="s">
        <v>80</v>
      </c>
      <c r="E11" s="28" t="s">
        <v>357</v>
      </c>
      <c r="F11" s="28"/>
      <c r="G11" s="28"/>
      <c r="H11" s="28"/>
      <c r="I11" s="28">
        <v>1</v>
      </c>
      <c r="J11" s="28">
        <v>1</v>
      </c>
      <c r="K11" s="28"/>
      <c r="L11" s="28">
        <v>1.3</v>
      </c>
      <c r="M11" s="28">
        <v>1</v>
      </c>
      <c r="N11" s="28">
        <v>1.3</v>
      </c>
      <c r="O11" s="28">
        <v>1</v>
      </c>
      <c r="P11" s="28">
        <v>1.3</v>
      </c>
      <c r="Q11" s="28">
        <v>1.3</v>
      </c>
      <c r="R11" s="28">
        <v>1.3</v>
      </c>
      <c r="S11" s="28">
        <v>1.3</v>
      </c>
      <c r="T11" s="28">
        <v>1.3</v>
      </c>
      <c r="U11" s="28">
        <v>1.3</v>
      </c>
      <c r="V11" s="28">
        <v>1.3</v>
      </c>
      <c r="W11" s="28">
        <v>1.3</v>
      </c>
      <c r="X11" s="28">
        <v>1.3</v>
      </c>
      <c r="Y11" s="28">
        <v>1.3</v>
      </c>
      <c r="Z11" s="28">
        <v>1.3</v>
      </c>
      <c r="AA11" s="28">
        <v>1.3</v>
      </c>
      <c r="AB11" s="28">
        <v>1.3</v>
      </c>
      <c r="AC11" s="28">
        <v>1.3</v>
      </c>
      <c r="AD11" s="28">
        <v>1.3</v>
      </c>
      <c r="AE11" s="29">
        <v>1.3</v>
      </c>
      <c r="AF11" s="29">
        <v>1.3</v>
      </c>
      <c r="AG11" s="29">
        <v>1.3</v>
      </c>
      <c r="AH11" s="29">
        <v>1.3</v>
      </c>
      <c r="AI11" s="29">
        <v>1.3</v>
      </c>
      <c r="AJ11" s="29">
        <v>1.3</v>
      </c>
      <c r="AK11" s="29">
        <v>1.3</v>
      </c>
      <c r="AL11" s="29">
        <v>1.3</v>
      </c>
      <c r="AM11" s="29">
        <v>1.3</v>
      </c>
      <c r="AN11" s="29">
        <v>1.3</v>
      </c>
      <c r="AO11" s="30">
        <f>SUMPRODUCT($F$2:$AN$2,Table46232[[#This Row],[1]:[35]])</f>
        <v>137.42009080845344</v>
      </c>
    </row>
    <row r="12" spans="1:41" x14ac:dyDescent="0.25">
      <c r="A12" s="24">
        <v>8</v>
      </c>
      <c r="B12" s="28" t="s">
        <v>261</v>
      </c>
      <c r="C12" s="28" t="s">
        <v>262</v>
      </c>
      <c r="D12" s="28" t="s">
        <v>80</v>
      </c>
      <c r="E12" s="28" t="s">
        <v>263</v>
      </c>
      <c r="F12" s="28"/>
      <c r="G12" s="28"/>
      <c r="H12" s="28"/>
      <c r="I12" s="28"/>
      <c r="J12" s="28">
        <v>1</v>
      </c>
      <c r="K12" s="28">
        <v>1.3</v>
      </c>
      <c r="L12" s="28">
        <v>1.3</v>
      </c>
      <c r="M12" s="28">
        <v>1.3</v>
      </c>
      <c r="N12" s="28">
        <v>1.3</v>
      </c>
      <c r="O12" s="28">
        <v>1.3</v>
      </c>
      <c r="P12" s="28">
        <v>1.3</v>
      </c>
      <c r="Q12" s="28">
        <v>1.3</v>
      </c>
      <c r="R12" s="28">
        <v>1.3</v>
      </c>
      <c r="S12" s="28">
        <v>1.3</v>
      </c>
      <c r="T12" s="28">
        <v>1.3</v>
      </c>
      <c r="U12" s="28">
        <v>1.3</v>
      </c>
      <c r="V12" s="28">
        <v>1.3</v>
      </c>
      <c r="W12" s="28">
        <v>1.3</v>
      </c>
      <c r="X12" s="28">
        <v>1.3</v>
      </c>
      <c r="Y12" s="28">
        <v>1.3</v>
      </c>
      <c r="Z12" s="28">
        <v>1.3</v>
      </c>
      <c r="AA12" s="28">
        <v>1.3</v>
      </c>
      <c r="AB12" s="28">
        <v>1.3</v>
      </c>
      <c r="AC12" s="28">
        <v>1.3</v>
      </c>
      <c r="AD12" s="28">
        <v>1.3</v>
      </c>
      <c r="AE12" s="29">
        <v>1.3</v>
      </c>
      <c r="AF12" s="29">
        <v>1.3</v>
      </c>
      <c r="AG12" s="29">
        <v>1.3</v>
      </c>
      <c r="AH12" s="29">
        <v>1.3</v>
      </c>
      <c r="AI12" s="29">
        <v>1.3</v>
      </c>
      <c r="AJ12" s="29">
        <v>1.3</v>
      </c>
      <c r="AK12" s="29">
        <v>1.3</v>
      </c>
      <c r="AL12" s="29">
        <v>1.3</v>
      </c>
      <c r="AM12" s="29">
        <v>1.3</v>
      </c>
      <c r="AN12" s="29">
        <v>1.3</v>
      </c>
      <c r="AO12" s="30">
        <f>SUMPRODUCT($F$2:$AN$2,Table46232[[#This Row],[1]:[35]])</f>
        <v>134.99151937988199</v>
      </c>
    </row>
    <row r="13" spans="1:41" x14ac:dyDescent="0.25">
      <c r="A13" s="27">
        <v>9</v>
      </c>
      <c r="B13" s="28" t="s">
        <v>396</v>
      </c>
      <c r="C13" s="28" t="s">
        <v>397</v>
      </c>
      <c r="D13" s="28" t="s">
        <v>100</v>
      </c>
      <c r="E13" s="28" t="s">
        <v>399</v>
      </c>
      <c r="F13" s="28"/>
      <c r="G13" s="28"/>
      <c r="H13" s="28"/>
      <c r="I13" s="28"/>
      <c r="J13" s="28">
        <v>1</v>
      </c>
      <c r="K13" s="28">
        <v>1.3</v>
      </c>
      <c r="L13" s="28">
        <v>1.3</v>
      </c>
      <c r="M13" s="28">
        <v>1.3</v>
      </c>
      <c r="N13" s="28">
        <v>1.3</v>
      </c>
      <c r="O13" s="28">
        <v>1</v>
      </c>
      <c r="P13" s="28">
        <v>1.3</v>
      </c>
      <c r="Q13" s="28">
        <v>1.3</v>
      </c>
      <c r="R13" s="28">
        <v>1.3</v>
      </c>
      <c r="S13" s="28">
        <v>1.3</v>
      </c>
      <c r="T13" s="28">
        <v>1.3</v>
      </c>
      <c r="U13" s="28">
        <v>1.3</v>
      </c>
      <c r="V13" s="28">
        <v>1.3</v>
      </c>
      <c r="W13" s="28">
        <v>1.3</v>
      </c>
      <c r="X13" s="28">
        <v>1.3</v>
      </c>
      <c r="Y13" s="28">
        <v>1.3</v>
      </c>
      <c r="Z13" s="28">
        <v>1.3</v>
      </c>
      <c r="AA13" s="28">
        <v>1.3</v>
      </c>
      <c r="AB13" s="28">
        <v>1.3</v>
      </c>
      <c r="AC13" s="28">
        <v>1</v>
      </c>
      <c r="AD13" s="28">
        <v>1.3</v>
      </c>
      <c r="AE13" s="29">
        <v>1.3</v>
      </c>
      <c r="AF13" s="29">
        <v>1.3</v>
      </c>
      <c r="AG13" s="29">
        <v>1.3</v>
      </c>
      <c r="AH13" s="29">
        <v>1.3</v>
      </c>
      <c r="AI13" s="29">
        <v>1.3</v>
      </c>
      <c r="AJ13" s="29">
        <v>1.3</v>
      </c>
      <c r="AK13" s="29">
        <v>1.3</v>
      </c>
      <c r="AL13" s="29">
        <v>1.3</v>
      </c>
      <c r="AM13" s="29">
        <v>1.3</v>
      </c>
      <c r="AN13" s="29">
        <v>1.3</v>
      </c>
      <c r="AO13" s="30">
        <f>SUMPRODUCT($F$2:$AN$2,Table46232[[#This Row],[1]:[35]])</f>
        <v>132.70204569567147</v>
      </c>
    </row>
    <row r="14" spans="1:41" x14ac:dyDescent="0.25">
      <c r="A14" s="24">
        <v>10</v>
      </c>
      <c r="B14" s="28" t="s">
        <v>174</v>
      </c>
      <c r="C14" s="28" t="s">
        <v>175</v>
      </c>
      <c r="D14" s="28" t="s">
        <v>100</v>
      </c>
      <c r="E14" s="28" t="s">
        <v>125</v>
      </c>
      <c r="F14" s="28"/>
      <c r="G14" s="28"/>
      <c r="H14" s="28"/>
      <c r="I14" s="28"/>
      <c r="J14" s="28">
        <v>1</v>
      </c>
      <c r="K14" s="28">
        <v>1</v>
      </c>
      <c r="L14" s="28">
        <v>1.3</v>
      </c>
      <c r="M14" s="28">
        <v>1</v>
      </c>
      <c r="N14" s="28">
        <v>1.3</v>
      </c>
      <c r="O14" s="28">
        <v>1.3</v>
      </c>
      <c r="P14" s="28">
        <v>1.3</v>
      </c>
      <c r="Q14" s="28">
        <v>1.3</v>
      </c>
      <c r="R14" s="28">
        <v>1.3</v>
      </c>
      <c r="S14" s="28">
        <v>1.3</v>
      </c>
      <c r="T14" s="28">
        <v>1.3</v>
      </c>
      <c r="U14" s="28">
        <v>1.3</v>
      </c>
      <c r="V14" s="28">
        <v>1.3</v>
      </c>
      <c r="W14" s="28">
        <v>1.3</v>
      </c>
      <c r="X14" s="28">
        <v>1.3</v>
      </c>
      <c r="Y14" s="28">
        <v>1.3</v>
      </c>
      <c r="Z14" s="28">
        <v>1.3</v>
      </c>
      <c r="AA14" s="28">
        <v>1.3</v>
      </c>
      <c r="AB14" s="28">
        <v>1.3</v>
      </c>
      <c r="AC14" s="28">
        <v>1</v>
      </c>
      <c r="AD14" s="28">
        <v>1.3</v>
      </c>
      <c r="AE14" s="29">
        <v>1.3</v>
      </c>
      <c r="AF14" s="29">
        <v>1.3</v>
      </c>
      <c r="AG14" s="29">
        <v>1.3</v>
      </c>
      <c r="AH14" s="29">
        <v>1.3</v>
      </c>
      <c r="AI14" s="29">
        <v>1.3</v>
      </c>
      <c r="AJ14" s="29">
        <v>1.3</v>
      </c>
      <c r="AK14" s="29">
        <v>1.3</v>
      </c>
      <c r="AL14" s="29">
        <v>1.3</v>
      </c>
      <c r="AM14" s="29">
        <v>1.3</v>
      </c>
      <c r="AN14" s="29">
        <v>1.3</v>
      </c>
      <c r="AO14" s="30">
        <f>SUMPRODUCT($F$2:$AN$2,Table46232[[#This Row],[1]:[35]])</f>
        <v>130.98775998138578</v>
      </c>
    </row>
    <row r="15" spans="1:41" x14ac:dyDescent="0.25">
      <c r="A15" s="24">
        <v>11</v>
      </c>
      <c r="B15" s="28" t="s">
        <v>121</v>
      </c>
      <c r="C15" s="28" t="s">
        <v>122</v>
      </c>
      <c r="D15" s="28" t="s">
        <v>118</v>
      </c>
      <c r="E15" s="28" t="s">
        <v>120</v>
      </c>
      <c r="F15" s="28"/>
      <c r="G15" s="28"/>
      <c r="H15" s="28"/>
      <c r="I15" s="28"/>
      <c r="J15" s="28">
        <v>1</v>
      </c>
      <c r="K15" s="28"/>
      <c r="L15" s="28">
        <v>1.3</v>
      </c>
      <c r="M15" s="28">
        <v>1.3</v>
      </c>
      <c r="N15" s="28">
        <v>1.3</v>
      </c>
      <c r="O15" s="28">
        <v>1.3</v>
      </c>
      <c r="P15" s="28">
        <v>1.3</v>
      </c>
      <c r="Q15" s="28">
        <v>1.3</v>
      </c>
      <c r="R15" s="28">
        <v>1.3</v>
      </c>
      <c r="S15" s="28">
        <v>1.3</v>
      </c>
      <c r="T15" s="28">
        <v>1.3</v>
      </c>
      <c r="U15" s="28">
        <v>1.3</v>
      </c>
      <c r="V15" s="28">
        <v>1.3</v>
      </c>
      <c r="W15" s="28">
        <v>1.3</v>
      </c>
      <c r="X15" s="28">
        <v>1.3</v>
      </c>
      <c r="Y15" s="28">
        <v>1.3</v>
      </c>
      <c r="Z15" s="28">
        <v>1.3</v>
      </c>
      <c r="AA15" s="28">
        <v>1.3</v>
      </c>
      <c r="AB15" s="28">
        <v>1.3</v>
      </c>
      <c r="AC15" s="28">
        <v>1.3</v>
      </c>
      <c r="AD15" s="28">
        <v>1.3</v>
      </c>
      <c r="AE15" s="29">
        <v>1.3</v>
      </c>
      <c r="AF15" s="29">
        <v>1.3</v>
      </c>
      <c r="AG15" s="29">
        <v>1.3</v>
      </c>
      <c r="AH15" s="29">
        <v>1.3</v>
      </c>
      <c r="AI15" s="29">
        <v>1.3</v>
      </c>
      <c r="AJ15" s="29">
        <v>1.3</v>
      </c>
      <c r="AK15" s="29">
        <v>1.3</v>
      </c>
      <c r="AL15" s="29">
        <v>1.3</v>
      </c>
      <c r="AM15" s="29">
        <v>1.3</v>
      </c>
      <c r="AN15" s="29">
        <v>1.3</v>
      </c>
      <c r="AO15" s="30">
        <f>SUMPRODUCT($F$2:$AN$2,Table46232[[#This Row],[1]:[35]])</f>
        <v>125.70580509416773</v>
      </c>
    </row>
    <row r="16" spans="1:41" x14ac:dyDescent="0.25">
      <c r="A16" s="27">
        <v>12</v>
      </c>
      <c r="B16" s="28" t="s">
        <v>301</v>
      </c>
      <c r="C16" s="28" t="s">
        <v>302</v>
      </c>
      <c r="D16" s="28" t="s">
        <v>91</v>
      </c>
      <c r="E16" s="28" t="s">
        <v>416</v>
      </c>
      <c r="F16" s="28"/>
      <c r="G16" s="28"/>
      <c r="H16" s="28"/>
      <c r="I16" s="28"/>
      <c r="J16" s="28"/>
      <c r="K16" s="28">
        <v>1</v>
      </c>
      <c r="L16" s="28">
        <v>1</v>
      </c>
      <c r="M16" s="28">
        <v>1.3</v>
      </c>
      <c r="N16" s="28">
        <v>1.3</v>
      </c>
      <c r="O16" s="28">
        <v>1.3</v>
      </c>
      <c r="P16" s="28">
        <v>1.3</v>
      </c>
      <c r="Q16" s="28">
        <v>1.3</v>
      </c>
      <c r="R16" s="28">
        <v>1.3</v>
      </c>
      <c r="S16" s="28">
        <v>1.3</v>
      </c>
      <c r="T16" s="28">
        <v>1.3</v>
      </c>
      <c r="U16" s="28">
        <v>1.3</v>
      </c>
      <c r="V16" s="28">
        <v>1.3</v>
      </c>
      <c r="W16" s="28">
        <v>1.3</v>
      </c>
      <c r="X16" s="28">
        <v>1.3</v>
      </c>
      <c r="Y16" s="28">
        <v>1.3</v>
      </c>
      <c r="Z16" s="28">
        <v>1.3</v>
      </c>
      <c r="AA16" s="28">
        <v>1.3</v>
      </c>
      <c r="AB16" s="28">
        <v>1.3</v>
      </c>
      <c r="AC16" s="28">
        <v>1.3</v>
      </c>
      <c r="AD16" s="28">
        <v>1.3</v>
      </c>
      <c r="AE16" s="29">
        <v>1.3</v>
      </c>
      <c r="AF16" s="29">
        <v>1.3</v>
      </c>
      <c r="AG16" s="29">
        <v>1.3</v>
      </c>
      <c r="AH16" s="29">
        <v>1.3</v>
      </c>
      <c r="AI16" s="29">
        <v>1.3</v>
      </c>
      <c r="AJ16" s="29">
        <v>1.3</v>
      </c>
      <c r="AK16" s="29">
        <v>1.3</v>
      </c>
      <c r="AL16" s="29">
        <v>1.3</v>
      </c>
      <c r="AM16" s="29">
        <v>1.3</v>
      </c>
      <c r="AN16" s="29">
        <v>1.3</v>
      </c>
      <c r="AO16" s="30">
        <f>SUMPRODUCT($F$2:$AN$2,Table46232[[#This Row],[1]:[35]])</f>
        <v>123.36148274984538</v>
      </c>
    </row>
    <row r="17" spans="1:41" x14ac:dyDescent="0.25">
      <c r="A17" s="24">
        <v>13</v>
      </c>
      <c r="B17" s="28" t="s">
        <v>410</v>
      </c>
      <c r="C17" s="28" t="s">
        <v>411</v>
      </c>
      <c r="D17" s="28" t="s">
        <v>100</v>
      </c>
      <c r="E17" s="28" t="s">
        <v>115</v>
      </c>
      <c r="F17" s="28"/>
      <c r="G17" s="28"/>
      <c r="H17" s="28"/>
      <c r="I17" s="28"/>
      <c r="J17" s="28"/>
      <c r="K17" s="28">
        <v>1</v>
      </c>
      <c r="L17" s="28">
        <v>1.3</v>
      </c>
      <c r="M17" s="28">
        <v>1.3</v>
      </c>
      <c r="N17" s="28">
        <v>1</v>
      </c>
      <c r="O17" s="28">
        <v>1.3</v>
      </c>
      <c r="P17" s="28">
        <v>1.3</v>
      </c>
      <c r="Q17" s="28">
        <v>1</v>
      </c>
      <c r="R17" s="28">
        <v>1</v>
      </c>
      <c r="S17" s="28">
        <v>1.3</v>
      </c>
      <c r="T17" s="28">
        <v>1.3</v>
      </c>
      <c r="U17" s="28">
        <v>1.3</v>
      </c>
      <c r="V17" s="28">
        <v>1.3</v>
      </c>
      <c r="W17" s="28">
        <v>1.3</v>
      </c>
      <c r="X17" s="28">
        <v>1.3</v>
      </c>
      <c r="Y17" s="28">
        <v>1.3</v>
      </c>
      <c r="Z17" s="28">
        <v>1.3</v>
      </c>
      <c r="AA17" s="28">
        <v>1.3</v>
      </c>
      <c r="AB17" s="28">
        <v>1.3</v>
      </c>
      <c r="AC17" s="28">
        <v>1</v>
      </c>
      <c r="AD17" s="28">
        <v>1.3</v>
      </c>
      <c r="AE17" s="29">
        <v>1.3</v>
      </c>
      <c r="AF17" s="29">
        <v>1.3</v>
      </c>
      <c r="AG17" s="29">
        <v>1.3</v>
      </c>
      <c r="AH17" s="29">
        <v>1.3</v>
      </c>
      <c r="AI17" s="29">
        <v>1.3</v>
      </c>
      <c r="AJ17" s="29">
        <v>1.3</v>
      </c>
      <c r="AK17" s="29">
        <v>1.3</v>
      </c>
      <c r="AL17" s="29">
        <v>1.3</v>
      </c>
      <c r="AM17" s="29">
        <v>1.3</v>
      </c>
      <c r="AN17" s="29">
        <v>1.3</v>
      </c>
      <c r="AO17" s="30">
        <f>SUMPRODUCT($F$2:$AN$2,Table46232[[#This Row],[1]:[35]])</f>
        <v>120.12200906563486</v>
      </c>
    </row>
    <row r="18" spans="1:41" x14ac:dyDescent="0.25">
      <c r="A18" s="27">
        <v>14</v>
      </c>
      <c r="B18" s="28" t="s">
        <v>362</v>
      </c>
      <c r="C18" s="28" t="s">
        <v>363</v>
      </c>
      <c r="D18" s="28" t="s">
        <v>100</v>
      </c>
      <c r="E18" s="28"/>
      <c r="F18" s="28"/>
      <c r="G18" s="28"/>
      <c r="H18" s="28"/>
      <c r="I18" s="28"/>
      <c r="J18" s="28"/>
      <c r="K18" s="28">
        <v>1</v>
      </c>
      <c r="L18" s="28">
        <v>1</v>
      </c>
      <c r="M18" s="28">
        <v>1</v>
      </c>
      <c r="N18" s="28">
        <v>1.3</v>
      </c>
      <c r="O18" s="28">
        <v>1</v>
      </c>
      <c r="P18" s="28">
        <v>1.3</v>
      </c>
      <c r="Q18" s="28">
        <v>1</v>
      </c>
      <c r="R18" s="28">
        <v>1</v>
      </c>
      <c r="S18" s="28">
        <v>1.3</v>
      </c>
      <c r="T18" s="28">
        <v>1.3</v>
      </c>
      <c r="U18" s="28">
        <v>1.3</v>
      </c>
      <c r="V18" s="28">
        <v>1.3</v>
      </c>
      <c r="W18" s="28">
        <v>1.3</v>
      </c>
      <c r="X18" s="28">
        <v>1.3</v>
      </c>
      <c r="Y18" s="28">
        <v>1.3</v>
      </c>
      <c r="Z18" s="28">
        <v>1.3</v>
      </c>
      <c r="AA18" s="28">
        <v>1.3</v>
      </c>
      <c r="AB18" s="28">
        <v>1.3</v>
      </c>
      <c r="AC18" s="28">
        <v>1.3</v>
      </c>
      <c r="AD18" s="28">
        <v>1.3</v>
      </c>
      <c r="AE18" s="29">
        <v>1.3</v>
      </c>
      <c r="AF18" s="29">
        <v>1.3</v>
      </c>
      <c r="AG18" s="29">
        <v>1.3</v>
      </c>
      <c r="AH18" s="29">
        <v>1</v>
      </c>
      <c r="AI18" s="29">
        <v>1.3</v>
      </c>
      <c r="AJ18" s="29">
        <v>1.3</v>
      </c>
      <c r="AK18" s="29">
        <v>1.3</v>
      </c>
      <c r="AL18" s="29">
        <v>1.3</v>
      </c>
      <c r="AM18" s="29">
        <v>1.3</v>
      </c>
      <c r="AN18" s="29">
        <v>1</v>
      </c>
      <c r="AO18" s="30">
        <f>SUMPRODUCT($F$2:$AN$2,Table46232[[#This Row],[1]:[35]])</f>
        <v>116.74573183409444</v>
      </c>
    </row>
    <row r="19" spans="1:41" x14ac:dyDescent="0.25">
      <c r="A19" s="24">
        <v>15</v>
      </c>
      <c r="B19" s="28" t="s">
        <v>277</v>
      </c>
      <c r="C19" s="28" t="s">
        <v>278</v>
      </c>
      <c r="D19" s="28" t="s">
        <v>80</v>
      </c>
      <c r="E19" s="28" t="s">
        <v>263</v>
      </c>
      <c r="F19" s="28"/>
      <c r="G19" s="28"/>
      <c r="H19" s="28"/>
      <c r="I19" s="28"/>
      <c r="J19" s="28"/>
      <c r="K19" s="28"/>
      <c r="L19" s="28">
        <v>1.3</v>
      </c>
      <c r="M19" s="28">
        <v>1.3</v>
      </c>
      <c r="N19" s="28">
        <v>1.3</v>
      </c>
      <c r="O19" s="28">
        <v>1</v>
      </c>
      <c r="P19" s="28">
        <v>1.3</v>
      </c>
      <c r="Q19" s="28">
        <v>1.3</v>
      </c>
      <c r="R19" s="28">
        <v>1.3</v>
      </c>
      <c r="S19" s="28">
        <v>1.3</v>
      </c>
      <c r="T19" s="28">
        <v>1.3</v>
      </c>
      <c r="U19" s="28">
        <v>1.3</v>
      </c>
      <c r="V19" s="28">
        <v>1.3</v>
      </c>
      <c r="W19" s="28">
        <v>1.3</v>
      </c>
      <c r="X19" s="28">
        <v>1.3</v>
      </c>
      <c r="Y19" s="28">
        <v>1.3</v>
      </c>
      <c r="Z19" s="28">
        <v>1.3</v>
      </c>
      <c r="AA19" s="28">
        <v>1.3</v>
      </c>
      <c r="AB19" s="28">
        <v>1.3</v>
      </c>
      <c r="AC19" s="28">
        <v>1.3</v>
      </c>
      <c r="AD19" s="28">
        <v>1.3</v>
      </c>
      <c r="AE19" s="29">
        <v>1.3</v>
      </c>
      <c r="AF19" s="29">
        <v>1.3</v>
      </c>
      <c r="AG19" s="29">
        <v>1.3</v>
      </c>
      <c r="AH19" s="29">
        <v>1.3</v>
      </c>
      <c r="AI19" s="29">
        <v>1.3</v>
      </c>
      <c r="AJ19" s="29">
        <v>1.3</v>
      </c>
      <c r="AK19" s="29">
        <v>1.3</v>
      </c>
      <c r="AL19" s="29">
        <v>1</v>
      </c>
      <c r="AM19" s="29">
        <v>1.3</v>
      </c>
      <c r="AN19" s="29">
        <v>1.3</v>
      </c>
      <c r="AO19" s="30">
        <f>SUMPRODUCT($F$2:$AN$2,Table46232[[#This Row],[1]:[35]])</f>
        <v>115.01532890369154</v>
      </c>
    </row>
    <row r="20" spans="1:41" x14ac:dyDescent="0.25">
      <c r="A20" s="24">
        <v>16</v>
      </c>
      <c r="B20" s="28" t="s">
        <v>98</v>
      </c>
      <c r="C20" s="28" t="s">
        <v>99</v>
      </c>
      <c r="D20" s="28" t="s">
        <v>100</v>
      </c>
      <c r="E20" s="28"/>
      <c r="F20" s="28"/>
      <c r="G20" s="28"/>
      <c r="H20" s="28"/>
      <c r="I20" s="28"/>
      <c r="J20" s="28"/>
      <c r="K20" s="28"/>
      <c r="L20" s="28">
        <v>1</v>
      </c>
      <c r="M20" s="28">
        <v>1</v>
      </c>
      <c r="N20" s="28">
        <v>1.3</v>
      </c>
      <c r="O20" s="28">
        <v>1.3</v>
      </c>
      <c r="P20" s="28">
        <v>1.3</v>
      </c>
      <c r="Q20" s="28">
        <v>1.3</v>
      </c>
      <c r="R20" s="28">
        <v>1.3</v>
      </c>
      <c r="S20" s="28">
        <v>1.3</v>
      </c>
      <c r="T20" s="28">
        <v>1.3</v>
      </c>
      <c r="U20" s="28">
        <v>1.3</v>
      </c>
      <c r="V20" s="28">
        <v>1.3</v>
      </c>
      <c r="W20" s="28">
        <v>1.3</v>
      </c>
      <c r="X20" s="28">
        <v>1.3</v>
      </c>
      <c r="Y20" s="28">
        <v>1.3</v>
      </c>
      <c r="Z20" s="28">
        <v>1</v>
      </c>
      <c r="AA20" s="28">
        <v>1.3</v>
      </c>
      <c r="AB20" s="28">
        <v>1.3</v>
      </c>
      <c r="AC20" s="28">
        <v>1.3</v>
      </c>
      <c r="AD20" s="28">
        <v>1.3</v>
      </c>
      <c r="AE20" s="29">
        <v>1.3</v>
      </c>
      <c r="AF20" s="29">
        <v>1.3</v>
      </c>
      <c r="AG20" s="29">
        <v>1.3</v>
      </c>
      <c r="AH20" s="29">
        <v>1.3</v>
      </c>
      <c r="AI20" s="29">
        <v>1.3</v>
      </c>
      <c r="AJ20" s="29">
        <v>1.3</v>
      </c>
      <c r="AK20" s="29">
        <v>1.3</v>
      </c>
      <c r="AL20" s="29">
        <v>1</v>
      </c>
      <c r="AM20" s="29">
        <v>1.3</v>
      </c>
      <c r="AN20" s="29">
        <v>1.3</v>
      </c>
      <c r="AO20" s="30">
        <f>SUMPRODUCT($F$2:$AN$2,Table46232[[#This Row],[1]:[35]])</f>
        <v>113.21862560698824</v>
      </c>
    </row>
    <row r="21" spans="1:41" x14ac:dyDescent="0.25">
      <c r="A21" s="32">
        <v>17</v>
      </c>
      <c r="B21" s="11" t="s">
        <v>372</v>
      </c>
      <c r="C21" s="11" t="s">
        <v>373</v>
      </c>
      <c r="D21" s="11" t="s">
        <v>91</v>
      </c>
      <c r="E21" s="11"/>
      <c r="F21" s="11"/>
      <c r="G21" s="11"/>
      <c r="H21" s="11"/>
      <c r="I21" s="11"/>
      <c r="J21" s="11"/>
      <c r="K21" s="11">
        <v>1</v>
      </c>
      <c r="L21" s="11">
        <v>1</v>
      </c>
      <c r="M21" s="11">
        <v>1.3</v>
      </c>
      <c r="N21" s="11">
        <v>1.3</v>
      </c>
      <c r="O21" s="11">
        <v>1</v>
      </c>
      <c r="P21" s="11">
        <v>1.3</v>
      </c>
      <c r="Q21" s="11">
        <v>1.3</v>
      </c>
      <c r="R21" s="11"/>
      <c r="S21" s="11">
        <v>1.3</v>
      </c>
      <c r="T21" s="11">
        <v>1.3</v>
      </c>
      <c r="U21" s="11">
        <v>1.3</v>
      </c>
      <c r="V21" s="11">
        <v>1</v>
      </c>
      <c r="W21" s="11">
        <v>1.3</v>
      </c>
      <c r="X21" s="11">
        <v>1.3</v>
      </c>
      <c r="Y21" s="11">
        <v>1.3</v>
      </c>
      <c r="Z21" s="11"/>
      <c r="AA21" s="11">
        <v>1.3</v>
      </c>
      <c r="AB21" s="11">
        <v>1.3</v>
      </c>
      <c r="AC21" s="11">
        <v>1</v>
      </c>
      <c r="AD21" s="11">
        <v>1.3</v>
      </c>
      <c r="AE21" s="19">
        <v>1.3</v>
      </c>
      <c r="AF21" s="19">
        <v>1</v>
      </c>
      <c r="AG21" s="19">
        <v>1.3</v>
      </c>
      <c r="AH21" s="19">
        <v>1.3</v>
      </c>
      <c r="AI21" s="19">
        <v>1.3</v>
      </c>
      <c r="AJ21" s="19">
        <v>1.3</v>
      </c>
      <c r="AK21" s="19">
        <v>1.3</v>
      </c>
      <c r="AL21" s="19">
        <v>1.3</v>
      </c>
      <c r="AM21" s="19">
        <v>1.3</v>
      </c>
      <c r="AN21" s="19">
        <v>1.3</v>
      </c>
      <c r="AO21" s="12">
        <f>SUMPRODUCT($F$2:$AN$2,Table46232[[#This Row],[1]:[35]])</f>
        <v>109.45059917648304</v>
      </c>
    </row>
    <row r="22" spans="1:41" x14ac:dyDescent="0.25">
      <c r="A22" s="31">
        <v>18</v>
      </c>
      <c r="B22" s="11" t="s">
        <v>351</v>
      </c>
      <c r="C22" s="11" t="s">
        <v>352</v>
      </c>
      <c r="D22" s="11" t="s">
        <v>80</v>
      </c>
      <c r="E22" s="11" t="s">
        <v>82</v>
      </c>
      <c r="F22" s="11"/>
      <c r="G22" s="11"/>
      <c r="H22" s="11"/>
      <c r="I22" s="11"/>
      <c r="J22" s="11"/>
      <c r="K22" s="11"/>
      <c r="L22" s="11">
        <v>1</v>
      </c>
      <c r="M22" s="11">
        <v>1.3</v>
      </c>
      <c r="N22" s="11">
        <v>1</v>
      </c>
      <c r="O22" s="11">
        <v>1</v>
      </c>
      <c r="P22" s="11">
        <v>1.3</v>
      </c>
      <c r="Q22" s="11">
        <v>1</v>
      </c>
      <c r="R22" s="11">
        <v>1</v>
      </c>
      <c r="S22" s="11">
        <v>1</v>
      </c>
      <c r="T22" s="11">
        <v>1.3</v>
      </c>
      <c r="U22" s="11">
        <v>1.3</v>
      </c>
      <c r="V22" s="11">
        <v>1</v>
      </c>
      <c r="W22" s="11">
        <v>1.3</v>
      </c>
      <c r="X22" s="11">
        <v>1.3</v>
      </c>
      <c r="Y22" s="11">
        <v>1</v>
      </c>
      <c r="Z22" s="11">
        <v>1</v>
      </c>
      <c r="AA22" s="11">
        <v>1.3</v>
      </c>
      <c r="AB22" s="11">
        <v>1.3</v>
      </c>
      <c r="AC22" s="11">
        <v>1</v>
      </c>
      <c r="AD22" s="11">
        <v>1.3</v>
      </c>
      <c r="AE22" s="19">
        <v>1.3</v>
      </c>
      <c r="AF22" s="19">
        <v>1.3</v>
      </c>
      <c r="AG22" s="19">
        <v>1.3</v>
      </c>
      <c r="AH22" s="19">
        <v>1.3</v>
      </c>
      <c r="AI22" s="19">
        <v>1.3</v>
      </c>
      <c r="AJ22" s="19">
        <v>1.3</v>
      </c>
      <c r="AK22" s="19">
        <v>1.3</v>
      </c>
      <c r="AL22" s="19">
        <v>1.3</v>
      </c>
      <c r="AM22" s="19">
        <v>1.3</v>
      </c>
      <c r="AN22" s="19">
        <v>1</v>
      </c>
      <c r="AO22" s="12">
        <f>SUMPRODUCT($F$2:$AN$2,Table46232[[#This Row],[1]:[35]])</f>
        <v>105.68196859535244</v>
      </c>
    </row>
    <row r="23" spans="1:41" x14ac:dyDescent="0.25">
      <c r="A23" s="32">
        <v>19</v>
      </c>
      <c r="B23" s="5" t="s">
        <v>417</v>
      </c>
      <c r="C23" s="5" t="s">
        <v>418</v>
      </c>
      <c r="D23" s="5" t="s">
        <v>100</v>
      </c>
      <c r="E23" s="5" t="s">
        <v>105</v>
      </c>
      <c r="F23" s="5"/>
      <c r="G23" s="5"/>
      <c r="H23" s="5"/>
      <c r="I23" s="5"/>
      <c r="J23" s="5"/>
      <c r="K23" s="5"/>
      <c r="L23" s="5">
        <v>1.3</v>
      </c>
      <c r="M23" s="5">
        <v>1</v>
      </c>
      <c r="N23" s="5">
        <v>1</v>
      </c>
      <c r="O23" s="5">
        <v>1</v>
      </c>
      <c r="P23" s="5">
        <v>1</v>
      </c>
      <c r="Q23" s="11"/>
      <c r="R23" s="11">
        <v>1.3</v>
      </c>
      <c r="S23" s="11">
        <v>1.3</v>
      </c>
      <c r="T23" s="11">
        <v>1.3</v>
      </c>
      <c r="U23" s="11">
        <v>1.3</v>
      </c>
      <c r="V23" s="11">
        <v>1.3</v>
      </c>
      <c r="W23" s="11">
        <v>1.3</v>
      </c>
      <c r="X23" s="11">
        <v>1.3</v>
      </c>
      <c r="Y23" s="11">
        <v>1.3</v>
      </c>
      <c r="Z23" s="11">
        <v>1</v>
      </c>
      <c r="AA23" s="11">
        <v>1</v>
      </c>
      <c r="AB23" s="11">
        <v>1</v>
      </c>
      <c r="AC23" s="11">
        <v>1.3</v>
      </c>
      <c r="AD23" s="11">
        <v>1.3</v>
      </c>
      <c r="AE23" s="19">
        <v>1.3</v>
      </c>
      <c r="AF23" s="19">
        <v>1.3</v>
      </c>
      <c r="AG23" s="19">
        <v>1.3</v>
      </c>
      <c r="AH23" s="19">
        <v>1.3</v>
      </c>
      <c r="AI23" s="19">
        <v>1.3</v>
      </c>
      <c r="AJ23" s="19">
        <v>1.3</v>
      </c>
      <c r="AK23" s="19">
        <v>1.3</v>
      </c>
      <c r="AL23" s="19">
        <v>1.3</v>
      </c>
      <c r="AM23" s="19">
        <v>1.3</v>
      </c>
      <c r="AN23" s="19">
        <v>1</v>
      </c>
      <c r="AO23" s="12">
        <f>SUMPRODUCT($F$2:$AN$2,Table46232[[#This Row],[1]:[35]])</f>
        <v>103.90781974618237</v>
      </c>
    </row>
    <row r="24" spans="1:41" x14ac:dyDescent="0.25">
      <c r="A24" s="31">
        <v>20</v>
      </c>
      <c r="B24" s="11" t="s">
        <v>130</v>
      </c>
      <c r="C24" s="11" t="s">
        <v>131</v>
      </c>
      <c r="D24" s="11" t="s">
        <v>100</v>
      </c>
      <c r="E24" s="11" t="s">
        <v>105</v>
      </c>
      <c r="F24" s="11"/>
      <c r="G24" s="11"/>
      <c r="H24" s="11"/>
      <c r="I24" s="11"/>
      <c r="J24" s="11"/>
      <c r="K24" s="11"/>
      <c r="L24" s="11"/>
      <c r="M24" s="11">
        <v>1</v>
      </c>
      <c r="N24" s="11">
        <v>1.3</v>
      </c>
      <c r="O24" s="11">
        <v>1</v>
      </c>
      <c r="P24" s="11">
        <v>1</v>
      </c>
      <c r="Q24" s="11">
        <v>1.3</v>
      </c>
      <c r="R24" s="11">
        <v>1.3</v>
      </c>
      <c r="S24" s="11">
        <v>1</v>
      </c>
      <c r="T24" s="11">
        <v>1</v>
      </c>
      <c r="U24" s="11">
        <v>1.3</v>
      </c>
      <c r="V24" s="11">
        <v>1.3</v>
      </c>
      <c r="W24" s="11">
        <v>1</v>
      </c>
      <c r="X24" s="11">
        <v>1.3</v>
      </c>
      <c r="Y24" s="11">
        <v>1.3</v>
      </c>
      <c r="Z24" s="11">
        <v>1.3</v>
      </c>
      <c r="AA24" s="11">
        <v>1.3</v>
      </c>
      <c r="AB24" s="11">
        <v>1</v>
      </c>
      <c r="AC24" s="11">
        <v>1.3</v>
      </c>
      <c r="AD24" s="11">
        <v>1.3</v>
      </c>
      <c r="AE24" s="19">
        <v>1.3</v>
      </c>
      <c r="AF24" s="19">
        <v>1.3</v>
      </c>
      <c r="AG24" s="19">
        <v>1</v>
      </c>
      <c r="AH24" s="19">
        <v>1.3</v>
      </c>
      <c r="AI24" s="19">
        <v>1.3</v>
      </c>
      <c r="AJ24" s="19">
        <v>1.3</v>
      </c>
      <c r="AK24" s="19">
        <v>1.3</v>
      </c>
      <c r="AL24" s="19">
        <v>1.3</v>
      </c>
      <c r="AM24" s="19">
        <v>1.3</v>
      </c>
      <c r="AN24" s="19">
        <v>1</v>
      </c>
      <c r="AO24" s="12">
        <f>SUMPRODUCT($F$2:$AN$2,Table46232[[#This Row],[1]:[35]])</f>
        <v>103.43031533485446</v>
      </c>
    </row>
    <row r="25" spans="1:41" x14ac:dyDescent="0.25">
      <c r="A25" s="31">
        <v>21</v>
      </c>
      <c r="B25" s="11" t="s">
        <v>377</v>
      </c>
      <c r="C25" s="11" t="s">
        <v>378</v>
      </c>
      <c r="D25" s="11" t="s">
        <v>100</v>
      </c>
      <c r="E25" s="11" t="s">
        <v>125</v>
      </c>
      <c r="F25" s="11"/>
      <c r="G25" s="11"/>
      <c r="H25" s="11"/>
      <c r="I25" s="11"/>
      <c r="J25" s="11">
        <v>1</v>
      </c>
      <c r="K25" s="11"/>
      <c r="L25" s="11">
        <v>1.3</v>
      </c>
      <c r="M25" s="11">
        <v>1.3</v>
      </c>
      <c r="N25" s="11">
        <v>1.3</v>
      </c>
      <c r="O25" s="11"/>
      <c r="P25" s="11">
        <v>1.3</v>
      </c>
      <c r="Q25" s="11">
        <v>1</v>
      </c>
      <c r="R25" s="11">
        <v>1.3</v>
      </c>
      <c r="S25" s="11">
        <v>1.3</v>
      </c>
      <c r="T25" s="11">
        <v>1.3</v>
      </c>
      <c r="U25" s="11">
        <v>1.3</v>
      </c>
      <c r="V25" s="11">
        <v>1</v>
      </c>
      <c r="W25" s="11">
        <v>1.3</v>
      </c>
      <c r="X25" s="11">
        <v>1.3</v>
      </c>
      <c r="Y25" s="11">
        <v>1.3</v>
      </c>
      <c r="Z25" s="11"/>
      <c r="AA25" s="11">
        <v>1.3</v>
      </c>
      <c r="AB25" s="11">
        <v>1.3</v>
      </c>
      <c r="AC25" s="11">
        <v>1.3</v>
      </c>
      <c r="AD25" s="11">
        <v>1</v>
      </c>
      <c r="AE25" s="19">
        <v>1.3</v>
      </c>
      <c r="AF25" s="19">
        <v>1.3</v>
      </c>
      <c r="AG25" s="19">
        <v>1</v>
      </c>
      <c r="AH25" s="19">
        <v>1.3</v>
      </c>
      <c r="AI25" s="19"/>
      <c r="AJ25" s="19">
        <v>1.3</v>
      </c>
      <c r="AK25" s="19">
        <v>1.3</v>
      </c>
      <c r="AL25" s="19"/>
      <c r="AM25" s="19">
        <v>1</v>
      </c>
      <c r="AN25" s="19"/>
      <c r="AO25" s="12">
        <f>SUMPRODUCT($F$2:$AN$2,Table46232[[#This Row],[1]:[35]])</f>
        <v>99.071234097117951</v>
      </c>
    </row>
    <row r="26" spans="1:41" x14ac:dyDescent="0.25">
      <c r="A26" s="32">
        <v>22</v>
      </c>
      <c r="B26" s="11" t="s">
        <v>429</v>
      </c>
      <c r="C26" s="11" t="s">
        <v>430</v>
      </c>
      <c r="D26" s="11" t="s">
        <v>100</v>
      </c>
      <c r="E26" s="11" t="s">
        <v>335</v>
      </c>
      <c r="F26" s="11"/>
      <c r="G26" s="11"/>
      <c r="H26" s="11"/>
      <c r="I26" s="11"/>
      <c r="J26" s="11"/>
      <c r="K26" s="11"/>
      <c r="L26" s="11">
        <v>1</v>
      </c>
      <c r="M26" s="11">
        <v>1</v>
      </c>
      <c r="N26" s="11">
        <v>1.3</v>
      </c>
      <c r="O26" s="11"/>
      <c r="P26" s="11"/>
      <c r="Q26" s="11">
        <v>1</v>
      </c>
      <c r="R26" s="11">
        <v>1</v>
      </c>
      <c r="S26" s="11">
        <v>1.3</v>
      </c>
      <c r="T26" s="11">
        <v>1</v>
      </c>
      <c r="U26" s="11">
        <v>1.3</v>
      </c>
      <c r="V26" s="11">
        <v>1.3</v>
      </c>
      <c r="W26" s="11">
        <v>1.3</v>
      </c>
      <c r="X26" s="11">
        <v>1.3</v>
      </c>
      <c r="Y26" s="11">
        <v>1.3</v>
      </c>
      <c r="Z26" s="11">
        <v>1.3</v>
      </c>
      <c r="AA26" s="11">
        <v>1.3</v>
      </c>
      <c r="AB26" s="11">
        <v>1.3</v>
      </c>
      <c r="AC26" s="11">
        <v>1</v>
      </c>
      <c r="AD26" s="11">
        <v>1</v>
      </c>
      <c r="AE26" s="19">
        <v>1.3</v>
      </c>
      <c r="AF26" s="19">
        <v>1.3</v>
      </c>
      <c r="AG26" s="19">
        <v>1</v>
      </c>
      <c r="AH26" s="19">
        <v>1</v>
      </c>
      <c r="AI26" s="19">
        <v>1</v>
      </c>
      <c r="AJ26" s="19">
        <v>1.3</v>
      </c>
      <c r="AK26" s="19">
        <v>1.3</v>
      </c>
      <c r="AL26" s="19">
        <v>1.3</v>
      </c>
      <c r="AM26" s="19">
        <v>1</v>
      </c>
      <c r="AN26" s="19">
        <v>1</v>
      </c>
      <c r="AO26" s="12">
        <f>SUMPRODUCT($F$2:$AN$2,Table46232[[#This Row],[1]:[35]])</f>
        <v>94.408949845338796</v>
      </c>
    </row>
    <row r="27" spans="1:41" x14ac:dyDescent="0.25">
      <c r="A27" s="31">
        <v>23</v>
      </c>
      <c r="B27" s="11" t="s">
        <v>419</v>
      </c>
      <c r="C27" s="11" t="s">
        <v>420</v>
      </c>
      <c r="D27" s="11" t="s">
        <v>100</v>
      </c>
      <c r="E27" s="11" t="s">
        <v>115</v>
      </c>
      <c r="F27" s="11"/>
      <c r="G27" s="11"/>
      <c r="H27" s="11"/>
      <c r="I27" s="11"/>
      <c r="J27" s="11"/>
      <c r="K27" s="11"/>
      <c r="L27" s="11">
        <v>1</v>
      </c>
      <c r="M27" s="11"/>
      <c r="N27" s="11">
        <v>1</v>
      </c>
      <c r="O27" s="11"/>
      <c r="P27" s="11">
        <v>1</v>
      </c>
      <c r="Q27" s="11">
        <v>1.3</v>
      </c>
      <c r="R27" s="11">
        <v>1</v>
      </c>
      <c r="S27" s="11">
        <v>1.3</v>
      </c>
      <c r="T27" s="11">
        <v>1.3</v>
      </c>
      <c r="U27" s="11">
        <v>1.3</v>
      </c>
      <c r="V27" s="11">
        <v>1</v>
      </c>
      <c r="W27" s="11">
        <v>1.3</v>
      </c>
      <c r="X27" s="11">
        <v>1.3</v>
      </c>
      <c r="Y27" s="11">
        <v>1.3</v>
      </c>
      <c r="Z27" s="11"/>
      <c r="AA27" s="11">
        <v>1.3</v>
      </c>
      <c r="AB27" s="11">
        <v>1</v>
      </c>
      <c r="AC27" s="11">
        <v>1.3</v>
      </c>
      <c r="AD27" s="11">
        <v>1.3</v>
      </c>
      <c r="AE27" s="19">
        <v>1.3</v>
      </c>
      <c r="AF27" s="19">
        <v>1.3</v>
      </c>
      <c r="AG27" s="19">
        <v>1.3</v>
      </c>
      <c r="AH27" s="19">
        <v>1</v>
      </c>
      <c r="AI27" s="19">
        <v>1.3</v>
      </c>
      <c r="AJ27" s="19">
        <v>1.3</v>
      </c>
      <c r="AK27" s="19">
        <v>1.3</v>
      </c>
      <c r="AL27" s="19">
        <v>1</v>
      </c>
      <c r="AM27" s="19">
        <v>1</v>
      </c>
      <c r="AN27" s="19">
        <v>1</v>
      </c>
      <c r="AO27" s="12">
        <f>SUMPRODUCT($F$2:$AN$2,Table46232[[#This Row],[1]:[35]])</f>
        <v>91.664986235606932</v>
      </c>
    </row>
    <row r="28" spans="1:41" x14ac:dyDescent="0.25">
      <c r="A28" s="32">
        <v>24</v>
      </c>
      <c r="B28" s="11" t="s">
        <v>339</v>
      </c>
      <c r="C28" s="11" t="s">
        <v>340</v>
      </c>
      <c r="D28" s="11" t="s">
        <v>100</v>
      </c>
      <c r="E28" s="11"/>
      <c r="F28" s="11"/>
      <c r="G28" s="11"/>
      <c r="H28" s="11"/>
      <c r="I28" s="11"/>
      <c r="J28" s="11"/>
      <c r="K28" s="11"/>
      <c r="L28" s="11">
        <v>1</v>
      </c>
      <c r="M28" s="11">
        <v>1</v>
      </c>
      <c r="N28" s="11"/>
      <c r="O28" s="11"/>
      <c r="P28" s="11">
        <v>1.3</v>
      </c>
      <c r="Q28" s="11"/>
      <c r="R28" s="11"/>
      <c r="S28" s="11">
        <v>1.3</v>
      </c>
      <c r="T28" s="11">
        <v>1.3</v>
      </c>
      <c r="U28" s="11">
        <v>1.3</v>
      </c>
      <c r="V28" s="11">
        <v>1.3</v>
      </c>
      <c r="W28" s="11">
        <v>1.3</v>
      </c>
      <c r="X28" s="11">
        <v>1.3</v>
      </c>
      <c r="Y28" s="11">
        <v>1.3</v>
      </c>
      <c r="Z28" s="11">
        <v>1.3</v>
      </c>
      <c r="AA28" s="11">
        <v>1.3</v>
      </c>
      <c r="AB28" s="11">
        <v>1.3</v>
      </c>
      <c r="AC28" s="11">
        <v>1.3</v>
      </c>
      <c r="AD28" s="11">
        <v>1</v>
      </c>
      <c r="AE28" s="19">
        <v>1.3</v>
      </c>
      <c r="AF28" s="19">
        <v>1.3</v>
      </c>
      <c r="AG28" s="19">
        <v>1.3</v>
      </c>
      <c r="AH28" s="19">
        <v>1</v>
      </c>
      <c r="AI28" s="19">
        <v>1.3</v>
      </c>
      <c r="AJ28" s="19">
        <v>1.3</v>
      </c>
      <c r="AK28" s="19">
        <v>1.3</v>
      </c>
      <c r="AL28" s="19">
        <v>1.3</v>
      </c>
      <c r="AM28" s="19">
        <v>1.3</v>
      </c>
      <c r="AN28" s="19">
        <v>1</v>
      </c>
      <c r="AO28" s="12">
        <f>SUMPRODUCT($F$2:$AN$2,Table46232[[#This Row],[1]:[35]])</f>
        <v>90.550580494206287</v>
      </c>
    </row>
    <row r="29" spans="1:41" x14ac:dyDescent="0.25">
      <c r="A29" s="31">
        <v>25</v>
      </c>
      <c r="B29" s="11" t="s">
        <v>286</v>
      </c>
      <c r="C29" s="11" t="s">
        <v>287</v>
      </c>
      <c r="D29" s="11" t="s">
        <v>80</v>
      </c>
      <c r="E29" s="11" t="s">
        <v>288</v>
      </c>
      <c r="F29" s="11"/>
      <c r="G29" s="11"/>
      <c r="H29" s="11"/>
      <c r="I29" s="11"/>
      <c r="J29" s="11"/>
      <c r="K29" s="11"/>
      <c r="L29" s="11">
        <v>1.3</v>
      </c>
      <c r="M29" s="11">
        <v>1</v>
      </c>
      <c r="N29" s="11"/>
      <c r="O29" s="11"/>
      <c r="P29" s="11"/>
      <c r="Q29" s="11">
        <v>1</v>
      </c>
      <c r="R29" s="11"/>
      <c r="S29" s="11">
        <v>1.3</v>
      </c>
      <c r="T29" s="11">
        <v>1.3</v>
      </c>
      <c r="U29" s="11">
        <v>1.3</v>
      </c>
      <c r="V29" s="11">
        <v>1.3</v>
      </c>
      <c r="W29" s="11">
        <v>1.3</v>
      </c>
      <c r="X29" s="11">
        <v>1.3</v>
      </c>
      <c r="Y29" s="11">
        <v>1.3</v>
      </c>
      <c r="Z29" s="11">
        <v>1</v>
      </c>
      <c r="AA29" s="11">
        <v>1.3</v>
      </c>
      <c r="AB29" s="11">
        <v>1.3</v>
      </c>
      <c r="AC29" s="11">
        <v>1</v>
      </c>
      <c r="AD29" s="11">
        <v>1</v>
      </c>
      <c r="AE29" s="19">
        <v>1.3</v>
      </c>
      <c r="AF29" s="19">
        <v>1.3</v>
      </c>
      <c r="AG29" s="19">
        <v>1.3</v>
      </c>
      <c r="AH29" s="19">
        <v>1.3</v>
      </c>
      <c r="AI29" s="19">
        <v>1.3</v>
      </c>
      <c r="AJ29" s="19">
        <v>1.3</v>
      </c>
      <c r="AK29" s="19">
        <v>1.3</v>
      </c>
      <c r="AL29" s="19">
        <v>1</v>
      </c>
      <c r="AM29" s="19">
        <v>1.3</v>
      </c>
      <c r="AN29" s="19">
        <v>1.3</v>
      </c>
      <c r="AO29" s="12">
        <f>SUMPRODUCT($F$2:$AN$2,Table46232[[#This Row],[1]:[35]])</f>
        <v>89.323011571900537</v>
      </c>
    </row>
    <row r="30" spans="1:41" x14ac:dyDescent="0.25">
      <c r="A30" s="31">
        <v>26</v>
      </c>
      <c r="B30" s="11" t="s">
        <v>412</v>
      </c>
      <c r="C30" s="11" t="s">
        <v>148</v>
      </c>
      <c r="D30" s="11" t="s">
        <v>100</v>
      </c>
      <c r="E30" s="11" t="s">
        <v>181</v>
      </c>
      <c r="F30" s="11"/>
      <c r="G30" s="11"/>
      <c r="H30" s="11"/>
      <c r="I30" s="11"/>
      <c r="J30" s="11"/>
      <c r="K30" s="11">
        <v>1</v>
      </c>
      <c r="L30" s="11">
        <v>1</v>
      </c>
      <c r="M30" s="11">
        <v>1</v>
      </c>
      <c r="N30" s="11"/>
      <c r="O30" s="11"/>
      <c r="P30" s="11">
        <v>1.3</v>
      </c>
      <c r="Q30" s="11">
        <v>1</v>
      </c>
      <c r="R30" s="11">
        <v>1</v>
      </c>
      <c r="S30" s="11">
        <v>1.3</v>
      </c>
      <c r="T30" s="11">
        <v>1.3</v>
      </c>
      <c r="U30" s="11">
        <v>1.3</v>
      </c>
      <c r="V30" s="11">
        <v>1.3</v>
      </c>
      <c r="W30" s="11">
        <v>1.3</v>
      </c>
      <c r="X30" s="11">
        <v>1.3</v>
      </c>
      <c r="Y30" s="11">
        <v>1.3</v>
      </c>
      <c r="Z30" s="11"/>
      <c r="AA30" s="11">
        <v>1.3</v>
      </c>
      <c r="AB30" s="11">
        <v>1.3</v>
      </c>
      <c r="AC30" s="11"/>
      <c r="AD30" s="11"/>
      <c r="AE30" s="19">
        <v>1.3</v>
      </c>
      <c r="AF30" s="19">
        <v>1</v>
      </c>
      <c r="AG30" s="19">
        <v>1.3</v>
      </c>
      <c r="AH30" s="19">
        <v>1.3</v>
      </c>
      <c r="AI30" s="19">
        <v>1.3</v>
      </c>
      <c r="AJ30" s="19">
        <v>1.3</v>
      </c>
      <c r="AK30" s="19">
        <v>1.3</v>
      </c>
      <c r="AL30" s="19"/>
      <c r="AM30" s="19"/>
      <c r="AN30" s="19">
        <v>1.3</v>
      </c>
      <c r="AO30" s="12">
        <f>SUMPRODUCT($F$2:$AN$2,Table46232[[#This Row],[1]:[35]])</f>
        <v>88.398371315681331</v>
      </c>
    </row>
    <row r="31" spans="1:41" x14ac:dyDescent="0.25">
      <c r="A31" s="32">
        <v>27</v>
      </c>
      <c r="B31" s="11" t="s">
        <v>349</v>
      </c>
      <c r="C31" s="11" t="s">
        <v>350</v>
      </c>
      <c r="D31" s="11" t="s">
        <v>91</v>
      </c>
      <c r="E31" s="11" t="s">
        <v>344</v>
      </c>
      <c r="F31" s="11"/>
      <c r="G31" s="11"/>
      <c r="H31" s="11"/>
      <c r="I31" s="11"/>
      <c r="J31" s="11"/>
      <c r="K31" s="11"/>
      <c r="L31" s="11">
        <v>1.3</v>
      </c>
      <c r="M31" s="11">
        <v>1.3</v>
      </c>
      <c r="N31" s="11"/>
      <c r="O31" s="11"/>
      <c r="P31" s="11">
        <v>1.3</v>
      </c>
      <c r="Q31" s="11">
        <v>1.3</v>
      </c>
      <c r="R31" s="11"/>
      <c r="S31" s="11">
        <v>1.3</v>
      </c>
      <c r="T31" s="11">
        <v>1.3</v>
      </c>
      <c r="U31" s="11">
        <v>1.3</v>
      </c>
      <c r="V31" s="11"/>
      <c r="W31" s="11">
        <v>1.3</v>
      </c>
      <c r="X31" s="11">
        <v>1.3</v>
      </c>
      <c r="Y31" s="11"/>
      <c r="Z31" s="11">
        <v>1</v>
      </c>
      <c r="AA31" s="11">
        <v>1.3</v>
      </c>
      <c r="AB31" s="11">
        <v>1.3</v>
      </c>
      <c r="AC31" s="11">
        <v>1.3</v>
      </c>
      <c r="AD31" s="11">
        <v>1.3</v>
      </c>
      <c r="AE31" s="19">
        <v>1.3</v>
      </c>
      <c r="AF31" s="19">
        <v>1.3</v>
      </c>
      <c r="AG31" s="19">
        <v>1</v>
      </c>
      <c r="AH31" s="19">
        <v>1</v>
      </c>
      <c r="AI31" s="19"/>
      <c r="AJ31" s="19">
        <v>1.3</v>
      </c>
      <c r="AK31" s="19">
        <v>1.3</v>
      </c>
      <c r="AL31" s="19">
        <v>1.3</v>
      </c>
      <c r="AM31" s="19">
        <v>1.3</v>
      </c>
      <c r="AN31" s="19">
        <v>1.3</v>
      </c>
      <c r="AO31" s="12">
        <f>SUMPRODUCT($F$2:$AN$2,Table46232[[#This Row],[1]:[35]])</f>
        <v>86.100652245466492</v>
      </c>
    </row>
    <row r="32" spans="1:41" x14ac:dyDescent="0.25">
      <c r="A32" s="31">
        <v>28</v>
      </c>
      <c r="B32" s="11" t="s">
        <v>191</v>
      </c>
      <c r="C32" s="11" t="s">
        <v>192</v>
      </c>
      <c r="D32" s="11" t="s">
        <v>91</v>
      </c>
      <c r="E32" s="11" t="s">
        <v>194</v>
      </c>
      <c r="F32" s="11"/>
      <c r="G32" s="11"/>
      <c r="H32" s="11"/>
      <c r="I32" s="11"/>
      <c r="J32" s="11"/>
      <c r="K32" s="11"/>
      <c r="L32" s="11"/>
      <c r="M32" s="11">
        <v>1</v>
      </c>
      <c r="N32" s="11"/>
      <c r="O32" s="11"/>
      <c r="P32" s="11"/>
      <c r="Q32" s="11">
        <v>1</v>
      </c>
      <c r="R32" s="11">
        <v>1</v>
      </c>
      <c r="S32" s="11">
        <v>1</v>
      </c>
      <c r="T32" s="11">
        <v>1</v>
      </c>
      <c r="U32" s="11">
        <v>1.3</v>
      </c>
      <c r="V32" s="11">
        <v>1.3</v>
      </c>
      <c r="W32" s="11">
        <v>1.3</v>
      </c>
      <c r="X32" s="11">
        <v>1.3</v>
      </c>
      <c r="Y32" s="11">
        <v>1.3</v>
      </c>
      <c r="Z32" s="11">
        <v>1</v>
      </c>
      <c r="AA32" s="11">
        <v>1.3</v>
      </c>
      <c r="AB32" s="11">
        <v>1.3</v>
      </c>
      <c r="AC32" s="11">
        <v>1</v>
      </c>
      <c r="AD32" s="11">
        <v>1.3</v>
      </c>
      <c r="AE32" s="19">
        <v>1.3</v>
      </c>
      <c r="AF32" s="19">
        <v>1.3</v>
      </c>
      <c r="AG32" s="19">
        <v>1.3</v>
      </c>
      <c r="AH32" s="19">
        <v>1</v>
      </c>
      <c r="AI32" s="19">
        <v>1.3</v>
      </c>
      <c r="AJ32" s="19">
        <v>1.3</v>
      </c>
      <c r="AK32" s="19">
        <v>1.3</v>
      </c>
      <c r="AL32" s="19">
        <v>1.3</v>
      </c>
      <c r="AM32" s="19"/>
      <c r="AN32" s="19">
        <v>1.3</v>
      </c>
      <c r="AO32" s="12">
        <f>SUMPRODUCT($F$2:$AN$2,Table46232[[#This Row],[1]:[35]])</f>
        <v>83.626374144999943</v>
      </c>
    </row>
    <row r="33" spans="1:41" x14ac:dyDescent="0.25">
      <c r="A33" s="32">
        <v>29</v>
      </c>
      <c r="B33" s="11" t="s">
        <v>176</v>
      </c>
      <c r="C33" s="11" t="s">
        <v>177</v>
      </c>
      <c r="D33" s="11" t="s">
        <v>100</v>
      </c>
      <c r="E33" s="11" t="s">
        <v>178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>
        <v>1</v>
      </c>
      <c r="T33" s="11"/>
      <c r="U33" s="11">
        <v>1</v>
      </c>
      <c r="V33" s="11">
        <v>1.3</v>
      </c>
      <c r="W33" s="11"/>
      <c r="X33" s="11">
        <v>1.3</v>
      </c>
      <c r="Y33" s="11">
        <v>1.3</v>
      </c>
      <c r="Z33" s="11">
        <v>1</v>
      </c>
      <c r="AA33" s="11">
        <v>1.3</v>
      </c>
      <c r="AB33" s="11">
        <v>1</v>
      </c>
      <c r="AC33" s="11">
        <v>1.3</v>
      </c>
      <c r="AD33" s="11">
        <v>1.3</v>
      </c>
      <c r="AE33" s="19">
        <v>1.3</v>
      </c>
      <c r="AF33" s="19">
        <v>1</v>
      </c>
      <c r="AG33" s="19">
        <v>1.3</v>
      </c>
      <c r="AH33" s="19">
        <v>1</v>
      </c>
      <c r="AI33" s="19">
        <v>1.3</v>
      </c>
      <c r="AJ33" s="19">
        <v>1.3</v>
      </c>
      <c r="AK33" s="19">
        <v>1.3</v>
      </c>
      <c r="AL33" s="19">
        <v>1</v>
      </c>
      <c r="AM33" s="19">
        <v>1</v>
      </c>
      <c r="AN33" s="19">
        <v>1.3</v>
      </c>
      <c r="AO33" s="12">
        <f>SUMPRODUCT($F$2:$AN$2,Table46232[[#This Row],[1]:[35]])</f>
        <v>65.579518529645867</v>
      </c>
    </row>
    <row r="34" spans="1:41" x14ac:dyDescent="0.25">
      <c r="A34" s="31">
        <v>30</v>
      </c>
      <c r="B34" s="11" t="s">
        <v>258</v>
      </c>
      <c r="C34" s="11" t="s">
        <v>259</v>
      </c>
      <c r="D34" s="11" t="s">
        <v>224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>
        <v>1</v>
      </c>
      <c r="T34" s="11">
        <v>1.3</v>
      </c>
      <c r="U34" s="11">
        <v>1.3</v>
      </c>
      <c r="V34" s="11">
        <v>1</v>
      </c>
      <c r="W34" s="11">
        <v>1</v>
      </c>
      <c r="X34" s="11">
        <v>1.3</v>
      </c>
      <c r="Y34" s="11">
        <v>1.3</v>
      </c>
      <c r="Z34" s="11">
        <v>1</v>
      </c>
      <c r="AA34" s="11">
        <v>1</v>
      </c>
      <c r="AB34" s="11"/>
      <c r="AC34" s="11">
        <v>1</v>
      </c>
      <c r="AD34" s="11">
        <v>1</v>
      </c>
      <c r="AE34" s="19">
        <v>1</v>
      </c>
      <c r="AF34" s="19">
        <v>1.3</v>
      </c>
      <c r="AG34" s="19"/>
      <c r="AH34" s="19">
        <v>1</v>
      </c>
      <c r="AI34" s="19">
        <v>1.3</v>
      </c>
      <c r="AJ34" s="19">
        <v>1.3</v>
      </c>
      <c r="AK34" s="19">
        <v>1.3</v>
      </c>
      <c r="AL34" s="19">
        <v>1</v>
      </c>
      <c r="AM34" s="19">
        <v>1.3</v>
      </c>
      <c r="AN34" s="19">
        <v>1.3</v>
      </c>
      <c r="AO34" s="12">
        <f>SUMPRODUCT($F$2:$AN$2,Table46232[[#This Row],[1]:[35]])</f>
        <v>64.855140120226764</v>
      </c>
    </row>
    <row r="35" spans="1:41" x14ac:dyDescent="0.25">
      <c r="A35" s="31">
        <v>31</v>
      </c>
      <c r="B35" s="11" t="s">
        <v>130</v>
      </c>
      <c r="C35" s="11" t="s">
        <v>376</v>
      </c>
      <c r="D35" s="11" t="s">
        <v>100</v>
      </c>
      <c r="E35" s="11" t="s">
        <v>115</v>
      </c>
      <c r="F35" s="11"/>
      <c r="G35" s="11"/>
      <c r="H35" s="11"/>
      <c r="I35" s="11"/>
      <c r="J35" s="11"/>
      <c r="K35" s="11"/>
      <c r="L35" s="11"/>
      <c r="M35" s="11">
        <v>1</v>
      </c>
      <c r="N35" s="11"/>
      <c r="O35" s="11"/>
      <c r="P35" s="11"/>
      <c r="Q35" s="11"/>
      <c r="R35" s="11"/>
      <c r="S35" s="11"/>
      <c r="T35" s="11">
        <v>1.3</v>
      </c>
      <c r="U35" s="11">
        <v>1.3</v>
      </c>
      <c r="V35" s="11">
        <v>1.3</v>
      </c>
      <c r="W35" s="11">
        <v>1.3</v>
      </c>
      <c r="X35" s="11">
        <v>1</v>
      </c>
      <c r="Y35" s="11">
        <v>1.3</v>
      </c>
      <c r="Z35" s="11"/>
      <c r="AA35" s="11">
        <v>1.3</v>
      </c>
      <c r="AB35" s="11">
        <v>1.3</v>
      </c>
      <c r="AC35" s="11">
        <v>1</v>
      </c>
      <c r="AD35" s="11">
        <v>1</v>
      </c>
      <c r="AE35" s="19">
        <v>1.3</v>
      </c>
      <c r="AF35" s="19">
        <v>1.3</v>
      </c>
      <c r="AG35" s="19"/>
      <c r="AH35" s="19">
        <v>1</v>
      </c>
      <c r="AI35" s="19">
        <v>1.3</v>
      </c>
      <c r="AJ35" s="19">
        <v>1.3</v>
      </c>
      <c r="AK35" s="19">
        <v>1.3</v>
      </c>
      <c r="AL35" s="19"/>
      <c r="AM35" s="19"/>
      <c r="AN35" s="19"/>
      <c r="AO35" s="12">
        <f>SUMPRODUCT($F$2:$AN$2,Table46232[[#This Row],[1]:[35]])</f>
        <v>57.48381679520574</v>
      </c>
    </row>
    <row r="36" spans="1:41" x14ac:dyDescent="0.25">
      <c r="A36" s="32">
        <v>32</v>
      </c>
      <c r="B36" s="11" t="s">
        <v>246</v>
      </c>
      <c r="C36" s="11" t="s">
        <v>247</v>
      </c>
      <c r="D36" s="11" t="s">
        <v>100</v>
      </c>
      <c r="E36" s="11" t="s">
        <v>248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>
        <v>1.3</v>
      </c>
      <c r="V36" s="11">
        <v>1</v>
      </c>
      <c r="W36" s="11"/>
      <c r="X36" s="11"/>
      <c r="Y36" s="11">
        <v>1</v>
      </c>
      <c r="Z36" s="11">
        <v>1.3</v>
      </c>
      <c r="AA36" s="11">
        <v>1.3</v>
      </c>
      <c r="AB36" s="11">
        <v>1.3</v>
      </c>
      <c r="AC36" s="11">
        <v>1.3</v>
      </c>
      <c r="AD36" s="11">
        <v>1.3</v>
      </c>
      <c r="AE36" s="19">
        <v>1</v>
      </c>
      <c r="AF36" s="19"/>
      <c r="AG36" s="19"/>
      <c r="AH36" s="19">
        <v>1.3</v>
      </c>
      <c r="AI36" s="19">
        <v>1.3</v>
      </c>
      <c r="AJ36" s="19">
        <v>1.3</v>
      </c>
      <c r="AK36" s="19">
        <v>1.3</v>
      </c>
      <c r="AL36" s="19">
        <v>1.3</v>
      </c>
      <c r="AM36" s="19">
        <v>1.3</v>
      </c>
      <c r="AN36" s="19">
        <v>1.3</v>
      </c>
      <c r="AO36" s="12">
        <f>SUMPRODUCT($F$2:$AN$2,Table46232[[#This Row],[1]:[35]])</f>
        <v>54.907448620097192</v>
      </c>
    </row>
    <row r="37" spans="1:41" x14ac:dyDescent="0.25">
      <c r="A37" s="31">
        <v>33</v>
      </c>
      <c r="B37" s="11" t="s">
        <v>249</v>
      </c>
      <c r="C37" s="11" t="s">
        <v>250</v>
      </c>
      <c r="D37" s="11" t="s">
        <v>100</v>
      </c>
      <c r="E37" s="11"/>
      <c r="F37" s="11"/>
      <c r="G37" s="11"/>
      <c r="H37" s="11"/>
      <c r="I37" s="11"/>
      <c r="J37" s="11"/>
      <c r="K37" s="11"/>
      <c r="L37" s="11"/>
      <c r="M37" s="11"/>
      <c r="N37" s="11">
        <v>1</v>
      </c>
      <c r="O37" s="11"/>
      <c r="P37" s="11"/>
      <c r="Q37" s="11"/>
      <c r="R37" s="11"/>
      <c r="S37" s="11">
        <v>1.3</v>
      </c>
      <c r="T37" s="11">
        <v>1.3</v>
      </c>
      <c r="U37" s="11">
        <v>1.3</v>
      </c>
      <c r="V37" s="11"/>
      <c r="W37" s="11">
        <v>1</v>
      </c>
      <c r="X37" s="11"/>
      <c r="Y37" s="11">
        <v>1</v>
      </c>
      <c r="Z37" s="11"/>
      <c r="AA37" s="11">
        <v>1</v>
      </c>
      <c r="AB37" s="11">
        <v>1.3</v>
      </c>
      <c r="AC37" s="11">
        <v>1.3</v>
      </c>
      <c r="AD37" s="11">
        <v>1</v>
      </c>
      <c r="AE37" s="19">
        <v>1.3</v>
      </c>
      <c r="AF37" s="19">
        <v>1.3</v>
      </c>
      <c r="AG37" s="19">
        <v>1</v>
      </c>
      <c r="AH37" s="19"/>
      <c r="AI37" s="19">
        <v>1.3</v>
      </c>
      <c r="AJ37" s="19">
        <v>1.3</v>
      </c>
      <c r="AK37" s="19">
        <v>1</v>
      </c>
      <c r="AL37" s="19"/>
      <c r="AM37" s="19"/>
      <c r="AN37" s="19"/>
      <c r="AO37" s="12">
        <f>SUMPRODUCT($F$2:$AN$2,Table46232[[#This Row],[1]:[35]])</f>
        <v>52.317819959073837</v>
      </c>
    </row>
    <row r="38" spans="1:41" x14ac:dyDescent="0.25">
      <c r="A38" s="32">
        <v>34</v>
      </c>
      <c r="B38" s="11" t="s">
        <v>345</v>
      </c>
      <c r="C38" s="11" t="s">
        <v>346</v>
      </c>
      <c r="D38" s="11" t="s">
        <v>80</v>
      </c>
      <c r="E38" s="11" t="s">
        <v>263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>
        <v>1.3</v>
      </c>
      <c r="V38" s="11"/>
      <c r="W38" s="11">
        <v>1</v>
      </c>
      <c r="X38" s="11">
        <v>1.3</v>
      </c>
      <c r="Y38" s="11">
        <v>1</v>
      </c>
      <c r="Z38" s="11"/>
      <c r="AA38" s="11">
        <v>1</v>
      </c>
      <c r="AB38" s="11"/>
      <c r="AC38" s="11">
        <v>1</v>
      </c>
      <c r="AD38" s="11">
        <v>1</v>
      </c>
      <c r="AE38" s="19">
        <v>1.3</v>
      </c>
      <c r="AF38" s="19">
        <v>1</v>
      </c>
      <c r="AG38" s="19">
        <v>1.3</v>
      </c>
      <c r="AH38" s="19"/>
      <c r="AI38" s="19">
        <v>1.3</v>
      </c>
      <c r="AJ38" s="19">
        <v>1.3</v>
      </c>
      <c r="AK38" s="19">
        <v>1.3</v>
      </c>
      <c r="AL38" s="19">
        <v>1</v>
      </c>
      <c r="AM38" s="19">
        <v>1.3</v>
      </c>
      <c r="AN38" s="19">
        <v>1</v>
      </c>
      <c r="AO38" s="12">
        <f>SUMPRODUCT($F$2:$AN$2,Table46232[[#This Row],[1]:[35]])</f>
        <v>49.838771960288987</v>
      </c>
    </row>
    <row r="39" spans="1:41" x14ac:dyDescent="0.25">
      <c r="A39" s="31">
        <v>35</v>
      </c>
      <c r="B39" s="11" t="s">
        <v>402</v>
      </c>
      <c r="C39" s="11" t="s">
        <v>403</v>
      </c>
      <c r="D39" s="11" t="s">
        <v>100</v>
      </c>
      <c r="E39" s="11" t="s">
        <v>338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>
        <v>1</v>
      </c>
      <c r="T39" s="11"/>
      <c r="U39" s="11">
        <v>1</v>
      </c>
      <c r="V39" s="11"/>
      <c r="W39" s="11">
        <v>1.3</v>
      </c>
      <c r="X39" s="11"/>
      <c r="Y39" s="11"/>
      <c r="Z39" s="11">
        <v>1</v>
      </c>
      <c r="AA39" s="11">
        <v>1.3</v>
      </c>
      <c r="AB39" s="11">
        <v>1</v>
      </c>
      <c r="AC39" s="11">
        <v>1</v>
      </c>
      <c r="AD39" s="11">
        <v>1</v>
      </c>
      <c r="AE39" s="19">
        <v>1</v>
      </c>
      <c r="AF39" s="19"/>
      <c r="AG39" s="19">
        <v>1</v>
      </c>
      <c r="AH39" s="19">
        <v>1.3</v>
      </c>
      <c r="AI39" s="19"/>
      <c r="AJ39" s="19">
        <v>1.3</v>
      </c>
      <c r="AK39" s="19">
        <v>1.3</v>
      </c>
      <c r="AL39" s="19">
        <v>1</v>
      </c>
      <c r="AM39" s="19">
        <v>1.3</v>
      </c>
      <c r="AN39" s="19">
        <v>1</v>
      </c>
      <c r="AO39" s="12">
        <f>SUMPRODUCT($F$2:$AN$2,Table46232[[#This Row],[1]:[35]])</f>
        <v>49.023091683695398</v>
      </c>
    </row>
    <row r="40" spans="1:41" x14ac:dyDescent="0.25">
      <c r="A40" s="31">
        <v>36</v>
      </c>
      <c r="B40" s="11" t="s">
        <v>309</v>
      </c>
      <c r="C40" s="11" t="s">
        <v>310</v>
      </c>
      <c r="D40" s="11" t="s">
        <v>80</v>
      </c>
      <c r="E40" s="11" t="s">
        <v>263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>
        <v>1.3</v>
      </c>
      <c r="V40" s="11"/>
      <c r="W40" s="11"/>
      <c r="X40" s="11"/>
      <c r="Y40" s="11">
        <v>1.3</v>
      </c>
      <c r="Z40" s="11"/>
      <c r="AA40" s="11">
        <v>1.3</v>
      </c>
      <c r="AB40" s="11"/>
      <c r="AC40" s="11">
        <v>1</v>
      </c>
      <c r="AD40" s="11">
        <v>1</v>
      </c>
      <c r="AE40" s="19">
        <v>1.3</v>
      </c>
      <c r="AF40" s="19">
        <v>1.3</v>
      </c>
      <c r="AG40" s="19">
        <v>1.3</v>
      </c>
      <c r="AH40" s="19"/>
      <c r="AI40" s="19">
        <v>1.3</v>
      </c>
      <c r="AJ40" s="19">
        <v>1.3</v>
      </c>
      <c r="AK40" s="19">
        <v>1.3</v>
      </c>
      <c r="AL40" s="19">
        <v>1.3</v>
      </c>
      <c r="AM40" s="19">
        <v>1.3</v>
      </c>
      <c r="AN40" s="19">
        <v>1.3</v>
      </c>
      <c r="AO40" s="12">
        <f>SUMPRODUCT($F$2:$AN$2,Table46232[[#This Row],[1]:[35]])</f>
        <v>47.062052654157924</v>
      </c>
    </row>
    <row r="41" spans="1:41" x14ac:dyDescent="0.25">
      <c r="A41" s="32">
        <v>37</v>
      </c>
      <c r="B41" s="11" t="s">
        <v>273</v>
      </c>
      <c r="C41" s="11" t="s">
        <v>274</v>
      </c>
      <c r="D41" s="11" t="s">
        <v>224</v>
      </c>
      <c r="E41" s="11" t="s">
        <v>276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>
        <v>1</v>
      </c>
      <c r="S41" s="11"/>
      <c r="T41" s="11">
        <v>1.3</v>
      </c>
      <c r="U41" s="11"/>
      <c r="V41" s="11"/>
      <c r="W41" s="11">
        <v>1</v>
      </c>
      <c r="X41" s="11"/>
      <c r="Y41" s="11"/>
      <c r="Z41" s="11"/>
      <c r="AA41" s="11">
        <v>1.3</v>
      </c>
      <c r="AB41" s="11">
        <v>1.3</v>
      </c>
      <c r="AC41" s="11">
        <v>1</v>
      </c>
      <c r="AD41" s="11">
        <v>1.3</v>
      </c>
      <c r="AE41" s="19">
        <v>1</v>
      </c>
      <c r="AF41" s="19">
        <v>1.3</v>
      </c>
      <c r="AG41" s="19">
        <v>1.3</v>
      </c>
      <c r="AH41" s="19"/>
      <c r="AI41" s="19">
        <v>1.3</v>
      </c>
      <c r="AJ41" s="19">
        <v>1.3</v>
      </c>
      <c r="AK41" s="19">
        <v>1.3</v>
      </c>
      <c r="AL41" s="19"/>
      <c r="AM41" s="19">
        <v>1.3</v>
      </c>
      <c r="AN41" s="19"/>
      <c r="AO41" s="12">
        <f>SUMPRODUCT($F$2:$AN$2,Table46232[[#This Row],[1]:[35]])</f>
        <v>46.949041008058046</v>
      </c>
    </row>
    <row r="42" spans="1:41" x14ac:dyDescent="0.25">
      <c r="A42" s="31">
        <v>38</v>
      </c>
      <c r="B42" s="11" t="s">
        <v>136</v>
      </c>
      <c r="C42" s="11" t="s">
        <v>141</v>
      </c>
      <c r="D42" s="11" t="s">
        <v>100</v>
      </c>
      <c r="E42" s="11" t="s">
        <v>143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>
        <v>1.3</v>
      </c>
      <c r="AB42" s="11">
        <v>1.3</v>
      </c>
      <c r="AC42" s="11"/>
      <c r="AD42" s="11">
        <v>1.3</v>
      </c>
      <c r="AE42" s="19"/>
      <c r="AF42" s="19"/>
      <c r="AG42" s="19">
        <v>1</v>
      </c>
      <c r="AH42" s="19">
        <v>1</v>
      </c>
      <c r="AI42" s="19">
        <v>1.3</v>
      </c>
      <c r="AJ42" s="19">
        <v>1.3</v>
      </c>
      <c r="AK42" s="19">
        <v>1.3</v>
      </c>
      <c r="AL42" s="19">
        <v>1</v>
      </c>
      <c r="AM42" s="19">
        <v>1.3</v>
      </c>
      <c r="AN42" s="19">
        <v>1.3</v>
      </c>
      <c r="AO42" s="12">
        <f>SUMPRODUCT($F$2:$AN$2,Table46232[[#This Row],[1]:[35]])</f>
        <v>35.683279143805464</v>
      </c>
    </row>
    <row r="43" spans="1:41" x14ac:dyDescent="0.25">
      <c r="A43" s="32">
        <v>39</v>
      </c>
      <c r="B43" s="11" t="s">
        <v>328</v>
      </c>
      <c r="C43" s="11" t="s">
        <v>329</v>
      </c>
      <c r="D43" s="11" t="s">
        <v>80</v>
      </c>
      <c r="E43" s="11" t="s">
        <v>158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>
        <v>1</v>
      </c>
      <c r="Y43" s="11">
        <v>1</v>
      </c>
      <c r="Z43" s="11"/>
      <c r="AA43" s="11">
        <v>1</v>
      </c>
      <c r="AB43" s="11">
        <v>1.3</v>
      </c>
      <c r="AC43" s="11"/>
      <c r="AD43" s="11">
        <v>1.3</v>
      </c>
      <c r="AE43" s="19"/>
      <c r="AF43" s="19"/>
      <c r="AG43" s="19">
        <v>1</v>
      </c>
      <c r="AH43" s="19">
        <v>1</v>
      </c>
      <c r="AI43" s="19"/>
      <c r="AJ43" s="19">
        <v>1.3</v>
      </c>
      <c r="AK43" s="19">
        <v>1.3</v>
      </c>
      <c r="AL43" s="19"/>
      <c r="AM43" s="19">
        <v>1</v>
      </c>
      <c r="AN43" s="19">
        <v>1</v>
      </c>
      <c r="AO43" s="12">
        <f>SUMPRODUCT($F$2:$AN$2,Table46232[[#This Row],[1]:[35]])</f>
        <v>32.587208547734861</v>
      </c>
    </row>
    <row r="44" spans="1:41" x14ac:dyDescent="0.25">
      <c r="A44" s="31">
        <v>40</v>
      </c>
      <c r="B44" s="11" t="s">
        <v>215</v>
      </c>
      <c r="C44" s="11" t="s">
        <v>432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>
        <v>1</v>
      </c>
      <c r="V44" s="11"/>
      <c r="W44" s="11"/>
      <c r="X44" s="11"/>
      <c r="Y44" s="11">
        <v>1.3</v>
      </c>
      <c r="Z44" s="11"/>
      <c r="AA44" s="11"/>
      <c r="AB44" s="11">
        <v>1.3</v>
      </c>
      <c r="AC44" s="11"/>
      <c r="AD44" s="11"/>
      <c r="AE44" s="19">
        <v>1</v>
      </c>
      <c r="AF44" s="19">
        <v>1</v>
      </c>
      <c r="AG44" s="19"/>
      <c r="AH44" s="19"/>
      <c r="AI44" s="19">
        <v>1.3</v>
      </c>
      <c r="AJ44" s="19">
        <v>1.3</v>
      </c>
      <c r="AK44" s="19">
        <v>1.3</v>
      </c>
      <c r="AL44" s="19">
        <v>1.3</v>
      </c>
      <c r="AM44" s="19"/>
      <c r="AN44" s="19">
        <v>1.3</v>
      </c>
      <c r="AO44" s="12">
        <f>SUMPRODUCT($F$2:$AN$2,Table46232[[#This Row],[1]:[35]])</f>
        <v>32.263174828964303</v>
      </c>
    </row>
    <row r="45" spans="1:41" x14ac:dyDescent="0.25">
      <c r="A45" s="31">
        <v>41</v>
      </c>
      <c r="B45" s="11" t="s">
        <v>336</v>
      </c>
      <c r="C45" s="11" t="s">
        <v>337</v>
      </c>
      <c r="D45" s="11" t="s">
        <v>100</v>
      </c>
      <c r="E45" s="11" t="s">
        <v>338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>
        <v>1.3</v>
      </c>
      <c r="AC45" s="11">
        <v>1</v>
      </c>
      <c r="AD45" s="11"/>
      <c r="AE45" s="19"/>
      <c r="AF45" s="19">
        <v>1.3</v>
      </c>
      <c r="AG45" s="19">
        <v>1.3</v>
      </c>
      <c r="AH45" s="19"/>
      <c r="AI45" s="19"/>
      <c r="AJ45" s="19">
        <v>1.3</v>
      </c>
      <c r="AK45" s="19"/>
      <c r="AL45" s="19"/>
      <c r="AM45" s="19">
        <v>1.3</v>
      </c>
      <c r="AN45" s="19"/>
      <c r="AO45" s="12">
        <f>SUMPRODUCT($F$2:$AN$2,Table46232[[#This Row],[1]:[35]])</f>
        <v>19.698288514077991</v>
      </c>
    </row>
    <row r="46" spans="1:41" x14ac:dyDescent="0.25">
      <c r="A46" s="32">
        <v>42</v>
      </c>
      <c r="B46" s="11" t="s">
        <v>279</v>
      </c>
      <c r="C46" s="11" t="s">
        <v>280</v>
      </c>
      <c r="D46" s="11" t="s">
        <v>80</v>
      </c>
      <c r="E46" s="11" t="s">
        <v>158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>
        <v>1</v>
      </c>
      <c r="AC46" s="11">
        <v>1</v>
      </c>
      <c r="AD46" s="11"/>
      <c r="AE46" s="19"/>
      <c r="AF46" s="19"/>
      <c r="AG46" s="19"/>
      <c r="AH46" s="19"/>
      <c r="AI46" s="19"/>
      <c r="AJ46" s="19">
        <v>1.3</v>
      </c>
      <c r="AK46" s="19"/>
      <c r="AL46" s="19">
        <v>1</v>
      </c>
      <c r="AM46" s="19"/>
      <c r="AN46" s="19"/>
      <c r="AO46" s="12">
        <f>SUMPRODUCT($F$2:$AN$2,Table46232[[#This Row],[1]:[35]])</f>
        <v>11.148062463851938</v>
      </c>
    </row>
  </sheetData>
  <mergeCells count="1">
    <mergeCell ref="A2:E2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3"/>
  <sheetViews>
    <sheetView topLeftCell="A4" workbookViewId="0">
      <selection activeCell="B9" sqref="B9:C9"/>
    </sheetView>
  </sheetViews>
  <sheetFormatPr defaultRowHeight="15" outlineLevelRow="1" outlineLevelCol="1" x14ac:dyDescent="0.25"/>
  <cols>
    <col min="1" max="1" width="7.85546875" customWidth="1"/>
    <col min="2" max="2" width="10.85546875" bestFit="1" customWidth="1"/>
    <col min="3" max="3" width="13.140625" bestFit="1" customWidth="1"/>
    <col min="4" max="4" width="9.140625" bestFit="1" customWidth="1"/>
    <col min="5" max="5" width="20.42578125" bestFit="1" customWidth="1"/>
    <col min="6" max="14" width="4.140625" hidden="1" customWidth="1" outlineLevel="1"/>
    <col min="15" max="55" width="5.140625" hidden="1" customWidth="1" outlineLevel="1"/>
    <col min="56" max="56" width="9.140625" customWidth="1" collapsed="1"/>
  </cols>
  <sheetData>
    <row r="1" spans="1:56" hidden="1" outlineLevel="1" x14ac:dyDescent="0.25">
      <c r="A1" t="s">
        <v>7</v>
      </c>
      <c r="B1">
        <v>100</v>
      </c>
    </row>
    <row r="2" spans="1:56" hidden="1" outlineLevel="1" x14ac:dyDescent="0.25">
      <c r="A2" s="35" t="s">
        <v>36</v>
      </c>
      <c r="B2" s="35"/>
      <c r="C2" s="35"/>
      <c r="D2" s="35"/>
      <c r="E2" s="35"/>
      <c r="F2">
        <f>IFERROR($B$1/COUNT(Table462324[1]),0)</f>
        <v>0</v>
      </c>
      <c r="G2">
        <f>IFERROR($B$1/COUNT(Table462324[2]),0)</f>
        <v>0</v>
      </c>
      <c r="H2">
        <f>IFERROR($B$1/COUNT(Table462324[3]),0)</f>
        <v>0</v>
      </c>
      <c r="I2">
        <f>IFERROR($B$1/COUNT(Table462324[4]),0)</f>
        <v>0</v>
      </c>
      <c r="J2">
        <f>IFERROR($B$1/COUNT(Table462324[5]),0)</f>
        <v>0</v>
      </c>
      <c r="K2">
        <f>IFERROR($B$1/COUNT(Table462324[6]),0)</f>
        <v>0</v>
      </c>
      <c r="L2">
        <f>IFERROR($B$1/COUNT(Table462324[7]),0)</f>
        <v>0</v>
      </c>
      <c r="M2">
        <f>IFERROR($B$1/COUNT(Table462324[8]),0)</f>
        <v>33.333333333333336</v>
      </c>
      <c r="N2">
        <f>IFERROR($B$1/COUNT(Table462324[9]),0)</f>
        <v>100</v>
      </c>
      <c r="O2">
        <f>IFERROR($B$1/COUNT(Table462324[10]),0)</f>
        <v>0</v>
      </c>
      <c r="P2">
        <f>IFERROR($B$1/COUNT(Table462324[11]),0)</f>
        <v>100</v>
      </c>
      <c r="Q2">
        <f>IFERROR($B$1/COUNT(Table462324[12]),0)</f>
        <v>100</v>
      </c>
      <c r="R2">
        <f>IFERROR($B$1/COUNT(Table462324[13]),0)</f>
        <v>100</v>
      </c>
      <c r="S2">
        <f>IFERROR($B$1/COUNT(Table462324[14]),0)</f>
        <v>14.285714285714286</v>
      </c>
      <c r="T2">
        <f>IFERROR($B$1/COUNT(Table462324[15]),0)</f>
        <v>33.333333333333336</v>
      </c>
      <c r="U2">
        <f>IFERROR($B$1/COUNT(Table462324[16]),0)</f>
        <v>5.5555555555555554</v>
      </c>
      <c r="V2">
        <f>IFERROR($B$1/COUNT(Table462324[17]),0)</f>
        <v>10</v>
      </c>
      <c r="W2">
        <f>IFERROR($B$1/COUNT(Table462324[18]),0)</f>
        <v>10</v>
      </c>
      <c r="X2">
        <f>IFERROR($B$1/COUNT(Table462324[19]),0)</f>
        <v>10</v>
      </c>
      <c r="Y2">
        <f>IFERROR($B$1/COUNT(Table462324[20]),0)</f>
        <v>10</v>
      </c>
      <c r="Z2">
        <f>IFERROR($B$1/COUNT(Table462324[21]),0)</f>
        <v>9.0909090909090917</v>
      </c>
      <c r="AA2">
        <f>IFERROR($B$1/COUNT(Table462324[22]),0)</f>
        <v>6.25</v>
      </c>
      <c r="AB2">
        <f>IFERROR($B$1/COUNT(Table462324[23]),0)</f>
        <v>4.166666666666667</v>
      </c>
      <c r="AC2">
        <f>IFERROR($B$1/COUNT(Table462324[24]),0)</f>
        <v>5.5555555555555554</v>
      </c>
      <c r="AD2">
        <f>IFERROR($B$1/COUNT(Table462324[25]),0)</f>
        <v>4.5454545454545459</v>
      </c>
      <c r="AE2">
        <f>IFERROR($B$1/COUNT(Table462324[26]),0)</f>
        <v>7.1428571428571432</v>
      </c>
      <c r="AF2">
        <f>IFERROR($B$1/COUNT(Table462324[27]),0)</f>
        <v>7.1428571428571432</v>
      </c>
      <c r="AG2">
        <f>IFERROR($B$1/COUNT(Table462324[28]),0)</f>
        <v>5.2631578947368425</v>
      </c>
      <c r="AH2">
        <f>IFERROR($B$1/COUNT(Table462324[29]),0)</f>
        <v>11.111111111111111</v>
      </c>
      <c r="AI2">
        <f>IFERROR($B$1/COUNT(Table462324[30]),0)</f>
        <v>5</v>
      </c>
      <c r="AJ2">
        <f>IFERROR($B$1/COUNT(Table462324[31]),0)</f>
        <v>3.7037037037037037</v>
      </c>
      <c r="AK2">
        <f>IFERROR($B$1/COUNT(Table462324[32]),0)</f>
        <v>3.4482758620689653</v>
      </c>
      <c r="AL2">
        <f>IFERROR($B$1/COUNT(Table462324[33]),0)</f>
        <v>5.5555555555555554</v>
      </c>
      <c r="AM2">
        <f>IFERROR($B$1/COUNT(Table462324[34]),0)</f>
        <v>4.5454545454545459</v>
      </c>
      <c r="AN2">
        <f>IFERROR($B$1/COUNT(Table462324[35]),0)</f>
        <v>5.2631578947368425</v>
      </c>
      <c r="AO2">
        <f>IFERROR($B$1/COUNT(Table462324[36]),0)</f>
        <v>3.7037037037037037</v>
      </c>
      <c r="AP2">
        <f>IFERROR($B$1/COUNT(Table462324[37]),0)</f>
        <v>4</v>
      </c>
      <c r="AQ2">
        <f>IFERROR($B$1/COUNT(Table462324[38]),0)</f>
        <v>3.5714285714285716</v>
      </c>
      <c r="AR2">
        <f>IFERROR($B$1/COUNT(Table462324[39]),0)</f>
        <v>3.7037037037037037</v>
      </c>
      <c r="AS2">
        <f>IFERROR($B$1/COUNT(Table462324[40]),0)</f>
        <v>3.8461538461538463</v>
      </c>
      <c r="AT2">
        <f>IFERROR($B$1/COUNT(Table462324[41]),0)</f>
        <v>3.5714285714285716</v>
      </c>
      <c r="AU2">
        <f>IFERROR($B$1/COUNT(Table462324[42]),0)</f>
        <v>3.7037037037037037</v>
      </c>
      <c r="AV2">
        <f>IFERROR($B$1/COUNT(Table462324[43]),0)</f>
        <v>3.8461538461538463</v>
      </c>
      <c r="AW2">
        <f>IFERROR($B$1/COUNT(Table462324[44]),0)</f>
        <v>3.8461538461538463</v>
      </c>
      <c r="AX2">
        <f>IFERROR($B$1/COUNT(Table462324[45]),0)</f>
        <v>4</v>
      </c>
      <c r="AY2">
        <f>IFERROR($B$1/COUNT(Table462324[46]),0)</f>
        <v>3.7037037037037037</v>
      </c>
      <c r="AZ2">
        <f>IFERROR($B$1/COUNT(Table462324[47]),0)</f>
        <v>3.7037037037037037</v>
      </c>
      <c r="BA2">
        <f>IFERROR($B$1/COUNT(Table462324[48]),0)</f>
        <v>3.8461538461538463</v>
      </c>
      <c r="BB2">
        <f>IFERROR($B$1/COUNT(Table462324[49]),0)</f>
        <v>4.3478260869565215</v>
      </c>
      <c r="BC2">
        <f>IFERROR($B$1/COUNT(Table462324[50]),0)</f>
        <v>3.5714285714285716</v>
      </c>
    </row>
    <row r="3" spans="1:56" hidden="1" outlineLevel="1" x14ac:dyDescent="0.25">
      <c r="A3" t="s">
        <v>4</v>
      </c>
      <c r="B3">
        <v>1.3</v>
      </c>
      <c r="C3" t="s">
        <v>5</v>
      </c>
      <c r="D3">
        <v>1</v>
      </c>
    </row>
    <row r="4" spans="1:56" collapsed="1" x14ac:dyDescent="0.25">
      <c r="A4" s="2" t="s">
        <v>6</v>
      </c>
      <c r="B4" s="3" t="s">
        <v>0</v>
      </c>
      <c r="C4" s="3" t="s">
        <v>1</v>
      </c>
      <c r="D4" s="3" t="s">
        <v>3</v>
      </c>
      <c r="E4" s="3" t="s">
        <v>2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  <c r="M4" s="3" t="s">
        <v>15</v>
      </c>
      <c r="N4" s="3" t="s">
        <v>16</v>
      </c>
      <c r="O4" s="3" t="s">
        <v>17</v>
      </c>
      <c r="P4" s="3" t="s">
        <v>18</v>
      </c>
      <c r="Q4" s="3" t="s">
        <v>19</v>
      </c>
      <c r="R4" s="3" t="s">
        <v>20</v>
      </c>
      <c r="S4" s="3" t="s">
        <v>21</v>
      </c>
      <c r="T4" s="3" t="s">
        <v>22</v>
      </c>
      <c r="U4" s="3" t="s">
        <v>23</v>
      </c>
      <c r="V4" s="3" t="s">
        <v>24</v>
      </c>
      <c r="W4" s="3" t="s">
        <v>25</v>
      </c>
      <c r="X4" s="3" t="s">
        <v>26</v>
      </c>
      <c r="Y4" s="3" t="s">
        <v>27</v>
      </c>
      <c r="Z4" s="3" t="s">
        <v>28</v>
      </c>
      <c r="AA4" s="3" t="s">
        <v>29</v>
      </c>
      <c r="AB4" s="3" t="s">
        <v>30</v>
      </c>
      <c r="AC4" s="3" t="s">
        <v>31</v>
      </c>
      <c r="AD4" s="3" t="s">
        <v>32</v>
      </c>
      <c r="AE4" s="4" t="s">
        <v>37</v>
      </c>
      <c r="AF4" s="4" t="s">
        <v>38</v>
      </c>
      <c r="AG4" s="4" t="s">
        <v>39</v>
      </c>
      <c r="AH4" s="4" t="s">
        <v>40</v>
      </c>
      <c r="AI4" s="4" t="s">
        <v>41</v>
      </c>
      <c r="AJ4" s="4" t="s">
        <v>43</v>
      </c>
      <c r="AK4" s="4" t="s">
        <v>44</v>
      </c>
      <c r="AL4" s="4" t="s">
        <v>45</v>
      </c>
      <c r="AM4" s="4" t="s">
        <v>46</v>
      </c>
      <c r="AN4" s="4" t="s">
        <v>47</v>
      </c>
      <c r="AO4" s="4" t="s">
        <v>48</v>
      </c>
      <c r="AP4" s="4" t="s">
        <v>49</v>
      </c>
      <c r="AQ4" s="4" t="s">
        <v>50</v>
      </c>
      <c r="AR4" s="4" t="s">
        <v>51</v>
      </c>
      <c r="AS4" s="4" t="s">
        <v>52</v>
      </c>
      <c r="AT4" s="4" t="s">
        <v>53</v>
      </c>
      <c r="AU4" s="4" t="s">
        <v>54</v>
      </c>
      <c r="AV4" s="4" t="s">
        <v>55</v>
      </c>
      <c r="AW4" s="4" t="s">
        <v>56</v>
      </c>
      <c r="AX4" s="4" t="s">
        <v>57</v>
      </c>
      <c r="AY4" s="4" t="s">
        <v>58</v>
      </c>
      <c r="AZ4" s="4" t="s">
        <v>59</v>
      </c>
      <c r="BA4" s="4" t="s">
        <v>60</v>
      </c>
      <c r="BB4" s="4" t="s">
        <v>61</v>
      </c>
      <c r="BC4" s="4" t="s">
        <v>62</v>
      </c>
      <c r="BD4" s="4" t="s">
        <v>33</v>
      </c>
    </row>
    <row r="5" spans="1:56" x14ac:dyDescent="0.25">
      <c r="A5" s="24">
        <v>1</v>
      </c>
      <c r="B5" s="6" t="s">
        <v>116</v>
      </c>
      <c r="C5" s="6" t="s">
        <v>117</v>
      </c>
      <c r="D5" s="6" t="s">
        <v>118</v>
      </c>
      <c r="E5" s="6" t="s">
        <v>120</v>
      </c>
      <c r="F5" s="6"/>
      <c r="G5" s="6"/>
      <c r="H5" s="6"/>
      <c r="I5" s="6"/>
      <c r="J5" s="6"/>
      <c r="K5" s="6"/>
      <c r="L5" s="6"/>
      <c r="M5" s="6">
        <v>1</v>
      </c>
      <c r="N5" s="6">
        <v>1.3</v>
      </c>
      <c r="O5" s="6"/>
      <c r="P5" s="6"/>
      <c r="Q5" s="6">
        <v>1</v>
      </c>
      <c r="R5" s="6"/>
      <c r="S5" s="6">
        <v>1.3</v>
      </c>
      <c r="T5" s="6">
        <v>1</v>
      </c>
      <c r="U5" s="6">
        <v>1.3</v>
      </c>
      <c r="V5" s="6">
        <v>1.3</v>
      </c>
      <c r="W5" s="6">
        <v>1.3</v>
      </c>
      <c r="X5" s="6">
        <v>1.3</v>
      </c>
      <c r="Y5" s="6">
        <v>1.3</v>
      </c>
      <c r="Z5" s="6">
        <v>1</v>
      </c>
      <c r="AA5" s="6">
        <v>1.3</v>
      </c>
      <c r="AB5" s="6">
        <v>1.3</v>
      </c>
      <c r="AC5" s="6">
        <v>1.3</v>
      </c>
      <c r="AD5" s="6">
        <v>1.3</v>
      </c>
      <c r="AE5" s="25">
        <v>1</v>
      </c>
      <c r="AF5" s="25">
        <v>1.3</v>
      </c>
      <c r="AG5" s="25">
        <v>1.3</v>
      </c>
      <c r="AH5" s="25">
        <v>1</v>
      </c>
      <c r="AI5" s="25">
        <v>1</v>
      </c>
      <c r="AJ5" s="25">
        <v>1.3</v>
      </c>
      <c r="AK5" s="25">
        <v>1.3</v>
      </c>
      <c r="AL5" s="25">
        <v>1</v>
      </c>
      <c r="AM5" s="25">
        <v>1</v>
      </c>
      <c r="AN5" s="25">
        <v>1.3</v>
      </c>
      <c r="AO5" s="25">
        <v>1.3</v>
      </c>
      <c r="AP5" s="25">
        <v>1.3</v>
      </c>
      <c r="AQ5" s="25">
        <v>1.3</v>
      </c>
      <c r="AR5" s="25">
        <v>1.3</v>
      </c>
      <c r="AS5" s="25">
        <v>1.3</v>
      </c>
      <c r="AT5" s="25">
        <v>1.3</v>
      </c>
      <c r="AU5" s="25">
        <v>1.3</v>
      </c>
      <c r="AV5" s="25">
        <v>1.3</v>
      </c>
      <c r="AW5" s="25">
        <v>1.3</v>
      </c>
      <c r="AX5" s="25">
        <v>1.3</v>
      </c>
      <c r="AY5" s="25">
        <v>1.3</v>
      </c>
      <c r="AZ5" s="25">
        <v>1.3</v>
      </c>
      <c r="BA5" s="25">
        <v>1.3</v>
      </c>
      <c r="BB5" s="25">
        <v>1.3</v>
      </c>
      <c r="BC5" s="25">
        <v>1.3</v>
      </c>
      <c r="BD5" s="26">
        <f>SUMPRODUCT($F$2:$BC$2,Table462324[[#This Row],[1]:[50]])</f>
        <v>549.9015023674084</v>
      </c>
    </row>
    <row r="6" spans="1:56" x14ac:dyDescent="0.25">
      <c r="A6" s="27">
        <v>2</v>
      </c>
      <c r="B6" s="28" t="s">
        <v>134</v>
      </c>
      <c r="C6" s="28" t="s">
        <v>413</v>
      </c>
      <c r="D6" s="28" t="s">
        <v>100</v>
      </c>
      <c r="E6" s="28"/>
      <c r="F6" s="28"/>
      <c r="G6" s="28"/>
      <c r="H6" s="28"/>
      <c r="I6" s="28"/>
      <c r="J6" s="28"/>
      <c r="K6" s="28"/>
      <c r="L6" s="28"/>
      <c r="M6" s="28">
        <v>1</v>
      </c>
      <c r="N6" s="28"/>
      <c r="O6" s="28"/>
      <c r="P6" s="28"/>
      <c r="Q6" s="28"/>
      <c r="R6" s="28">
        <v>1</v>
      </c>
      <c r="S6" s="28">
        <v>1</v>
      </c>
      <c r="T6" s="28"/>
      <c r="U6" s="28">
        <v>1</v>
      </c>
      <c r="V6" s="28">
        <v>1.3</v>
      </c>
      <c r="W6" s="28">
        <v>1.3</v>
      </c>
      <c r="X6" s="28">
        <v>1</v>
      </c>
      <c r="Y6" s="28">
        <v>1</v>
      </c>
      <c r="Z6" s="28">
        <v>1.3</v>
      </c>
      <c r="AA6" s="28">
        <v>1.3</v>
      </c>
      <c r="AB6" s="28">
        <v>1</v>
      </c>
      <c r="AC6" s="28">
        <v>1</v>
      </c>
      <c r="AD6" s="28">
        <v>1.3</v>
      </c>
      <c r="AE6" s="29">
        <v>1</v>
      </c>
      <c r="AF6" s="29">
        <v>1.3</v>
      </c>
      <c r="AG6" s="29">
        <v>1.3</v>
      </c>
      <c r="AH6" s="29">
        <v>1</v>
      </c>
      <c r="AI6" s="29">
        <v>1.3</v>
      </c>
      <c r="AJ6" s="29">
        <v>1.3</v>
      </c>
      <c r="AK6" s="29">
        <v>1.3</v>
      </c>
      <c r="AL6" s="29">
        <v>1</v>
      </c>
      <c r="AM6" s="29"/>
      <c r="AN6" s="29">
        <v>1.3</v>
      </c>
      <c r="AO6" s="29">
        <v>1.3</v>
      </c>
      <c r="AP6" s="29">
        <v>1.3</v>
      </c>
      <c r="AQ6" s="29">
        <v>1.3</v>
      </c>
      <c r="AR6" s="29">
        <v>1.3</v>
      </c>
      <c r="AS6" s="29">
        <v>1.3</v>
      </c>
      <c r="AT6" s="29">
        <v>1.3</v>
      </c>
      <c r="AU6" s="29">
        <v>1.3</v>
      </c>
      <c r="AV6" s="29">
        <v>1.3</v>
      </c>
      <c r="AW6" s="29">
        <v>1.3</v>
      </c>
      <c r="AX6" s="29">
        <v>1.3</v>
      </c>
      <c r="AY6" s="29">
        <v>1.3</v>
      </c>
      <c r="AZ6" s="29">
        <v>1.3</v>
      </c>
      <c r="BA6" s="29">
        <v>1.3</v>
      </c>
      <c r="BB6" s="29">
        <v>1.3</v>
      </c>
      <c r="BC6" s="29">
        <v>1.3</v>
      </c>
      <c r="BD6" s="30">
        <f>SUMPRODUCT($F$2:$BC$2,Table462324[[#This Row],[1]:[50]])</f>
        <v>371.38093959684562</v>
      </c>
    </row>
    <row r="7" spans="1:56" x14ac:dyDescent="0.25">
      <c r="A7" s="24">
        <v>3</v>
      </c>
      <c r="B7" s="28" t="s">
        <v>215</v>
      </c>
      <c r="C7" s="28" t="s">
        <v>216</v>
      </c>
      <c r="D7" s="28" t="s">
        <v>100</v>
      </c>
      <c r="E7" s="28" t="s">
        <v>125</v>
      </c>
      <c r="F7" s="28"/>
      <c r="G7" s="28"/>
      <c r="H7" s="28"/>
      <c r="I7" s="28"/>
      <c r="J7" s="28"/>
      <c r="K7" s="28"/>
      <c r="L7" s="28"/>
      <c r="M7" s="28">
        <v>1</v>
      </c>
      <c r="N7" s="28"/>
      <c r="O7" s="28"/>
      <c r="P7" s="28">
        <v>1</v>
      </c>
      <c r="Q7" s="28"/>
      <c r="R7" s="28"/>
      <c r="S7" s="28"/>
      <c r="T7" s="28"/>
      <c r="U7" s="28">
        <v>1.3</v>
      </c>
      <c r="V7" s="28"/>
      <c r="W7" s="28">
        <v>1.3</v>
      </c>
      <c r="X7" s="28">
        <v>1</v>
      </c>
      <c r="Y7" s="28">
        <v>1.3</v>
      </c>
      <c r="Z7" s="28"/>
      <c r="AA7" s="28">
        <v>1.3</v>
      </c>
      <c r="AB7" s="28">
        <v>1</v>
      </c>
      <c r="AC7" s="28"/>
      <c r="AD7" s="28">
        <v>1.3</v>
      </c>
      <c r="AE7" s="29">
        <v>1</v>
      </c>
      <c r="AF7" s="29">
        <v>1.3</v>
      </c>
      <c r="AG7" s="29">
        <v>1.3</v>
      </c>
      <c r="AH7" s="29"/>
      <c r="AI7" s="29">
        <v>1</v>
      </c>
      <c r="AJ7" s="29">
        <v>1.3</v>
      </c>
      <c r="AK7" s="29">
        <v>1</v>
      </c>
      <c r="AL7" s="29"/>
      <c r="AM7" s="29"/>
      <c r="AN7" s="29">
        <v>1</v>
      </c>
      <c r="AO7" s="29">
        <v>1.3</v>
      </c>
      <c r="AP7" s="29">
        <v>1.3</v>
      </c>
      <c r="AQ7" s="29">
        <v>1.3</v>
      </c>
      <c r="AR7" s="29">
        <v>1.3</v>
      </c>
      <c r="AS7" s="29"/>
      <c r="AT7" s="29">
        <v>1.3</v>
      </c>
      <c r="AU7" s="29">
        <v>1.3</v>
      </c>
      <c r="AV7" s="29"/>
      <c r="AW7" s="29">
        <v>1.3</v>
      </c>
      <c r="AX7" s="29"/>
      <c r="AY7" s="29">
        <v>1.3</v>
      </c>
      <c r="AZ7" s="29"/>
      <c r="BA7" s="29"/>
      <c r="BB7" s="29"/>
      <c r="BC7" s="29">
        <v>1.3</v>
      </c>
      <c r="BD7" s="30">
        <f>SUMPRODUCT($F$2:$BC$2,Table462324[[#This Row],[1]:[50]])</f>
        <v>279.94106908249381</v>
      </c>
    </row>
    <row r="8" spans="1:56" x14ac:dyDescent="0.25">
      <c r="A8" s="27">
        <v>4</v>
      </c>
      <c r="B8" s="28" t="s">
        <v>205</v>
      </c>
      <c r="C8" s="28" t="s">
        <v>206</v>
      </c>
      <c r="D8" s="28" t="s">
        <v>87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>
        <v>1</v>
      </c>
      <c r="T8" s="28">
        <v>1</v>
      </c>
      <c r="U8" s="28">
        <v>1</v>
      </c>
      <c r="V8" s="28">
        <v>1</v>
      </c>
      <c r="W8" s="28">
        <v>1.3</v>
      </c>
      <c r="X8" s="28">
        <v>1.3</v>
      </c>
      <c r="Y8" s="28"/>
      <c r="Z8" s="28">
        <v>1.3</v>
      </c>
      <c r="AA8" s="28">
        <v>1.3</v>
      </c>
      <c r="AB8" s="28">
        <v>1.3</v>
      </c>
      <c r="AC8" s="28">
        <v>1</v>
      </c>
      <c r="AD8" s="28">
        <v>1.3</v>
      </c>
      <c r="AE8" s="29">
        <v>1.3</v>
      </c>
      <c r="AF8" s="29">
        <v>1.3</v>
      </c>
      <c r="AG8" s="29">
        <v>1.3</v>
      </c>
      <c r="AH8" s="29">
        <v>1.3</v>
      </c>
      <c r="AI8" s="29">
        <v>1.3</v>
      </c>
      <c r="AJ8" s="29">
        <v>1.3</v>
      </c>
      <c r="AK8" s="29">
        <v>1.3</v>
      </c>
      <c r="AL8" s="29">
        <v>1.3</v>
      </c>
      <c r="AM8" s="29">
        <v>1</v>
      </c>
      <c r="AN8" s="29">
        <v>1</v>
      </c>
      <c r="AO8" s="29">
        <v>1.3</v>
      </c>
      <c r="AP8" s="29">
        <v>1.3</v>
      </c>
      <c r="AQ8" s="29">
        <v>1.3</v>
      </c>
      <c r="AR8" s="29">
        <v>1.3</v>
      </c>
      <c r="AS8" s="29">
        <v>1.3</v>
      </c>
      <c r="AT8" s="29">
        <v>1.3</v>
      </c>
      <c r="AU8" s="29">
        <v>1.3</v>
      </c>
      <c r="AV8" s="29">
        <v>1.3</v>
      </c>
      <c r="AW8" s="29">
        <v>1.3</v>
      </c>
      <c r="AX8" s="29">
        <v>1.3</v>
      </c>
      <c r="AY8" s="29">
        <v>1.3</v>
      </c>
      <c r="AZ8" s="29">
        <v>1.3</v>
      </c>
      <c r="BA8" s="29">
        <v>1.3</v>
      </c>
      <c r="BB8" s="29">
        <v>1.3</v>
      </c>
      <c r="BC8" s="29">
        <v>1.3</v>
      </c>
      <c r="BD8" s="30">
        <f>SUMPRODUCT($F$2:$BC$2,Table462324[[#This Row],[1]:[50]])</f>
        <v>272.74030391673608</v>
      </c>
    </row>
    <row r="9" spans="1:56" x14ac:dyDescent="0.25">
      <c r="A9" s="24">
        <v>5</v>
      </c>
      <c r="B9" s="28" t="s">
        <v>199</v>
      </c>
      <c r="C9" s="28" t="s">
        <v>200</v>
      </c>
      <c r="D9" s="28" t="s">
        <v>100</v>
      </c>
      <c r="E9" s="28" t="s">
        <v>181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>
        <v>1</v>
      </c>
      <c r="T9" s="28"/>
      <c r="U9" s="28">
        <v>1.3</v>
      </c>
      <c r="V9" s="28">
        <v>1.3</v>
      </c>
      <c r="W9" s="28">
        <v>1.3</v>
      </c>
      <c r="X9" s="28">
        <v>1.3</v>
      </c>
      <c r="Y9" s="28">
        <v>1.3</v>
      </c>
      <c r="Z9" s="28">
        <v>1.3</v>
      </c>
      <c r="AA9" s="28">
        <v>1.3</v>
      </c>
      <c r="AB9" s="28">
        <v>1.3</v>
      </c>
      <c r="AC9" s="28">
        <v>1</v>
      </c>
      <c r="AD9" s="28">
        <v>1.3</v>
      </c>
      <c r="AE9" s="29">
        <v>1</v>
      </c>
      <c r="AF9" s="29">
        <v>1</v>
      </c>
      <c r="AG9" s="29">
        <v>1.3</v>
      </c>
      <c r="AH9" s="29">
        <v>1</v>
      </c>
      <c r="AI9" s="29">
        <v>1.3</v>
      </c>
      <c r="AJ9" s="29">
        <v>1.3</v>
      </c>
      <c r="AK9" s="29">
        <v>1.3</v>
      </c>
      <c r="AL9" s="29">
        <v>1.3</v>
      </c>
      <c r="AM9" s="29">
        <v>1.3</v>
      </c>
      <c r="AN9" s="29">
        <v>1.3</v>
      </c>
      <c r="AO9" s="29">
        <v>1.3</v>
      </c>
      <c r="AP9" s="29">
        <v>1.3</v>
      </c>
      <c r="AQ9" s="29">
        <v>1.3</v>
      </c>
      <c r="AR9" s="29">
        <v>1.3</v>
      </c>
      <c r="AS9" s="29">
        <v>1.3</v>
      </c>
      <c r="AT9" s="29">
        <v>1.3</v>
      </c>
      <c r="AU9" s="29">
        <v>1.3</v>
      </c>
      <c r="AV9" s="29">
        <v>1.3</v>
      </c>
      <c r="AW9" s="29">
        <v>1.3</v>
      </c>
      <c r="AX9" s="29">
        <v>1.3</v>
      </c>
      <c r="AY9" s="29">
        <v>1.3</v>
      </c>
      <c r="AZ9" s="29">
        <v>1.3</v>
      </c>
      <c r="BA9" s="29">
        <v>1.3</v>
      </c>
      <c r="BB9" s="29">
        <v>1.3</v>
      </c>
      <c r="BC9" s="29">
        <v>1.3</v>
      </c>
      <c r="BD9" s="30">
        <f>SUMPRODUCT($F$2:$BC$2,Table462324[[#This Row],[1]:[50]])</f>
        <v>252.39717336307913</v>
      </c>
    </row>
    <row r="10" spans="1:56" x14ac:dyDescent="0.25">
      <c r="A10" s="27">
        <v>6</v>
      </c>
      <c r="B10" s="28" t="s">
        <v>106</v>
      </c>
      <c r="C10" s="28" t="s">
        <v>107</v>
      </c>
      <c r="D10" s="28" t="s">
        <v>80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>
        <v>1.3</v>
      </c>
      <c r="T10" s="28"/>
      <c r="U10" s="28">
        <v>1.3</v>
      </c>
      <c r="V10" s="28"/>
      <c r="W10" s="28">
        <v>1</v>
      </c>
      <c r="X10" s="28">
        <v>1</v>
      </c>
      <c r="Y10" s="28">
        <v>1.3</v>
      </c>
      <c r="Z10" s="28">
        <v>1.3</v>
      </c>
      <c r="AA10" s="28">
        <v>1.3</v>
      </c>
      <c r="AB10" s="28">
        <v>1</v>
      </c>
      <c r="AC10" s="28">
        <v>1.3</v>
      </c>
      <c r="AD10" s="28">
        <v>1.3</v>
      </c>
      <c r="AE10" s="29">
        <v>1</v>
      </c>
      <c r="AF10" s="29">
        <v>1.3</v>
      </c>
      <c r="AG10" s="29">
        <v>1.3</v>
      </c>
      <c r="AH10" s="29"/>
      <c r="AI10" s="29">
        <v>1</v>
      </c>
      <c r="AJ10" s="29">
        <v>1.3</v>
      </c>
      <c r="AK10" s="29">
        <v>1.3</v>
      </c>
      <c r="AL10" s="29">
        <v>1.3</v>
      </c>
      <c r="AM10" s="29">
        <v>1.3</v>
      </c>
      <c r="AN10" s="29">
        <v>1</v>
      </c>
      <c r="AO10" s="29">
        <v>1.3</v>
      </c>
      <c r="AP10" s="29">
        <v>1.3</v>
      </c>
      <c r="AQ10" s="29">
        <v>1.3</v>
      </c>
      <c r="AR10" s="29">
        <v>1.3</v>
      </c>
      <c r="AS10" s="29">
        <v>1.3</v>
      </c>
      <c r="AT10" s="29">
        <v>1.3</v>
      </c>
      <c r="AU10" s="29">
        <v>1.3</v>
      </c>
      <c r="AV10" s="29">
        <v>1.3</v>
      </c>
      <c r="AW10" s="29">
        <v>1.3</v>
      </c>
      <c r="AX10" s="29">
        <v>1.3</v>
      </c>
      <c r="AY10" s="29">
        <v>1.3</v>
      </c>
      <c r="AZ10" s="29">
        <v>1.3</v>
      </c>
      <c r="BA10" s="29">
        <v>1.3</v>
      </c>
      <c r="BB10" s="29">
        <v>1.3</v>
      </c>
      <c r="BC10" s="29">
        <v>1.3</v>
      </c>
      <c r="BD10" s="30">
        <f>SUMPRODUCT($F$2:$BC$2,Table462324[[#This Row],[1]:[50]])</f>
        <v>226.05235297878511</v>
      </c>
    </row>
    <row r="11" spans="1:56" x14ac:dyDescent="0.25">
      <c r="A11" s="9">
        <v>7</v>
      </c>
      <c r="B11" s="11" t="s">
        <v>332</v>
      </c>
      <c r="C11" s="11" t="s">
        <v>333</v>
      </c>
      <c r="D11" s="11" t="s">
        <v>100</v>
      </c>
      <c r="E11" s="11" t="s">
        <v>334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>
        <v>1.3</v>
      </c>
      <c r="T11" s="11"/>
      <c r="U11" s="11">
        <v>1</v>
      </c>
      <c r="V11" s="11">
        <v>1</v>
      </c>
      <c r="W11" s="11"/>
      <c r="X11" s="11">
        <v>1.3</v>
      </c>
      <c r="Y11" s="11">
        <v>1</v>
      </c>
      <c r="Z11" s="11"/>
      <c r="AA11" s="11">
        <v>1</v>
      </c>
      <c r="AB11" s="11">
        <v>1.3</v>
      </c>
      <c r="AC11" s="11">
        <v>1</v>
      </c>
      <c r="AD11" s="11">
        <v>1.3</v>
      </c>
      <c r="AE11" s="19">
        <v>1.3</v>
      </c>
      <c r="AF11" s="19">
        <v>1</v>
      </c>
      <c r="AG11" s="19">
        <v>1.3</v>
      </c>
      <c r="AH11" s="19">
        <v>1.3</v>
      </c>
      <c r="AI11" s="19">
        <v>1.3</v>
      </c>
      <c r="AJ11" s="19">
        <v>1.3</v>
      </c>
      <c r="AK11" s="19">
        <v>1.3</v>
      </c>
      <c r="AL11" s="19">
        <v>1</v>
      </c>
      <c r="AM11" s="19">
        <v>1.3</v>
      </c>
      <c r="AN11" s="19">
        <v>1</v>
      </c>
      <c r="AO11" s="19">
        <v>1.3</v>
      </c>
      <c r="AP11" s="19">
        <v>1.3</v>
      </c>
      <c r="AQ11" s="19">
        <v>1.3</v>
      </c>
      <c r="AR11" s="19">
        <v>1.3</v>
      </c>
      <c r="AS11" s="19">
        <v>1.3</v>
      </c>
      <c r="AT11" s="19">
        <v>1.3</v>
      </c>
      <c r="AU11" s="19">
        <v>1.3</v>
      </c>
      <c r="AV11" s="19">
        <v>1.3</v>
      </c>
      <c r="AW11" s="19">
        <v>1.3</v>
      </c>
      <c r="AX11" s="19">
        <v>1.3</v>
      </c>
      <c r="AY11" s="19">
        <v>1.3</v>
      </c>
      <c r="AZ11" s="19">
        <v>1.3</v>
      </c>
      <c r="BA11" s="19">
        <v>1.3</v>
      </c>
      <c r="BB11" s="19">
        <v>1.3</v>
      </c>
      <c r="BC11" s="19">
        <v>1.3</v>
      </c>
      <c r="BD11" s="12">
        <f>SUMPRODUCT($F$2:$BC$2,Table462324[[#This Row],[1]:[50]])</f>
        <v>224.5536156050477</v>
      </c>
    </row>
    <row r="12" spans="1:56" x14ac:dyDescent="0.25">
      <c r="A12" s="10">
        <v>8</v>
      </c>
      <c r="B12" s="11" t="s">
        <v>159</v>
      </c>
      <c r="C12" s="11" t="s">
        <v>188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>
        <v>1</v>
      </c>
      <c r="T12" s="11">
        <v>1</v>
      </c>
      <c r="U12" s="11">
        <v>1.3</v>
      </c>
      <c r="V12" s="11"/>
      <c r="W12" s="11">
        <v>1</v>
      </c>
      <c r="X12" s="11">
        <v>1.3</v>
      </c>
      <c r="Y12" s="11"/>
      <c r="Z12" s="11"/>
      <c r="AA12" s="11">
        <v>1.3</v>
      </c>
      <c r="AB12" s="11">
        <v>1.3</v>
      </c>
      <c r="AC12" s="11"/>
      <c r="AD12" s="11">
        <v>1.3</v>
      </c>
      <c r="AE12" s="19">
        <v>1</v>
      </c>
      <c r="AF12" s="19">
        <v>1</v>
      </c>
      <c r="AG12" s="19">
        <v>1</v>
      </c>
      <c r="AH12" s="19"/>
      <c r="AI12" s="19">
        <v>1.3</v>
      </c>
      <c r="AJ12" s="19">
        <v>1.3</v>
      </c>
      <c r="AK12" s="19">
        <v>1.3</v>
      </c>
      <c r="AL12" s="19">
        <v>1.3</v>
      </c>
      <c r="AM12" s="19">
        <v>1.3</v>
      </c>
      <c r="AN12" s="19"/>
      <c r="AO12" s="19">
        <v>1.3</v>
      </c>
      <c r="AP12" s="19">
        <v>1.3</v>
      </c>
      <c r="AQ12" s="19">
        <v>1.3</v>
      </c>
      <c r="AR12" s="19">
        <v>1.3</v>
      </c>
      <c r="AS12" s="19">
        <v>1.3</v>
      </c>
      <c r="AT12" s="19">
        <v>1.3</v>
      </c>
      <c r="AU12" s="19">
        <v>1.3</v>
      </c>
      <c r="AV12" s="19">
        <v>1.3</v>
      </c>
      <c r="AW12" s="19">
        <v>1.3</v>
      </c>
      <c r="AX12" s="19">
        <v>1.3</v>
      </c>
      <c r="AY12" s="19">
        <v>1.3</v>
      </c>
      <c r="AZ12" s="19">
        <v>1.3</v>
      </c>
      <c r="BA12" s="19">
        <v>1.3</v>
      </c>
      <c r="BB12" s="19">
        <v>1.3</v>
      </c>
      <c r="BC12" s="19">
        <v>1.3</v>
      </c>
      <c r="BD12" s="12">
        <f>SUMPRODUCT($F$2:$BC$2,Table462324[[#This Row],[1]:[50]])</f>
        <v>219.82460557998505</v>
      </c>
    </row>
    <row r="13" spans="1:56" x14ac:dyDescent="0.25">
      <c r="A13" s="9">
        <v>9</v>
      </c>
      <c r="B13" s="11" t="s">
        <v>132</v>
      </c>
      <c r="C13" s="11" t="s">
        <v>133</v>
      </c>
      <c r="D13" s="11" t="s">
        <v>100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>
        <v>1.3</v>
      </c>
      <c r="V13" s="11">
        <v>1.3</v>
      </c>
      <c r="W13" s="11"/>
      <c r="X13" s="11"/>
      <c r="Y13" s="11">
        <v>1.3</v>
      </c>
      <c r="Z13" s="11">
        <v>1</v>
      </c>
      <c r="AA13" s="11">
        <v>1.3</v>
      </c>
      <c r="AB13" s="11">
        <v>1.3</v>
      </c>
      <c r="AC13" s="11">
        <v>1.3</v>
      </c>
      <c r="AD13" s="11">
        <v>1.3</v>
      </c>
      <c r="AE13" s="19">
        <v>1</v>
      </c>
      <c r="AF13" s="19">
        <v>1</v>
      </c>
      <c r="AG13" s="19">
        <v>1.3</v>
      </c>
      <c r="AH13" s="19">
        <v>1</v>
      </c>
      <c r="AI13" s="19">
        <v>1.3</v>
      </c>
      <c r="AJ13" s="19">
        <v>1.3</v>
      </c>
      <c r="AK13" s="19">
        <v>1.3</v>
      </c>
      <c r="AL13" s="19">
        <v>1.3</v>
      </c>
      <c r="AM13" s="19">
        <v>1.3</v>
      </c>
      <c r="AN13" s="19">
        <v>1</v>
      </c>
      <c r="AO13" s="19">
        <v>1.3</v>
      </c>
      <c r="AP13" s="19">
        <v>1.3</v>
      </c>
      <c r="AQ13" s="19">
        <v>1.3</v>
      </c>
      <c r="AR13" s="19">
        <v>1.3</v>
      </c>
      <c r="AS13" s="19">
        <v>1.3</v>
      </c>
      <c r="AT13" s="19">
        <v>1.3</v>
      </c>
      <c r="AU13" s="19">
        <v>1.3</v>
      </c>
      <c r="AV13" s="19">
        <v>1.3</v>
      </c>
      <c r="AW13" s="19">
        <v>1.3</v>
      </c>
      <c r="AX13" s="19"/>
      <c r="AY13" s="19">
        <v>1.3</v>
      </c>
      <c r="AZ13" s="19">
        <v>1.3</v>
      </c>
      <c r="BA13" s="19">
        <v>1.3</v>
      </c>
      <c r="BB13" s="19"/>
      <c r="BC13" s="19">
        <v>1.3</v>
      </c>
      <c r="BD13" s="12">
        <f>SUMPRODUCT($F$2:$BC$2,Table462324[[#This Row],[1]:[50]])</f>
        <v>198.61973173529429</v>
      </c>
    </row>
    <row r="14" spans="1:56" x14ac:dyDescent="0.25">
      <c r="A14" s="10">
        <v>10</v>
      </c>
      <c r="B14" s="11" t="s">
        <v>254</v>
      </c>
      <c r="C14" s="11" t="s">
        <v>421</v>
      </c>
      <c r="D14" s="11" t="s">
        <v>224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>
        <v>1</v>
      </c>
      <c r="V14" s="11">
        <v>1</v>
      </c>
      <c r="W14" s="11"/>
      <c r="X14" s="11">
        <v>1</v>
      </c>
      <c r="Y14" s="11"/>
      <c r="Z14" s="11">
        <v>1.3</v>
      </c>
      <c r="AA14" s="11"/>
      <c r="AB14" s="11">
        <v>1.3</v>
      </c>
      <c r="AC14" s="11">
        <v>1.3</v>
      </c>
      <c r="AD14" s="11">
        <v>1</v>
      </c>
      <c r="AE14" s="19"/>
      <c r="AF14" s="19"/>
      <c r="AG14" s="19">
        <v>1.3</v>
      </c>
      <c r="AH14" s="19">
        <v>1</v>
      </c>
      <c r="AI14" s="19">
        <v>1.3</v>
      </c>
      <c r="AJ14" s="19">
        <v>1.3</v>
      </c>
      <c r="AK14" s="19">
        <v>1.3</v>
      </c>
      <c r="AL14" s="19">
        <v>1.3</v>
      </c>
      <c r="AM14" s="19">
        <v>1.3</v>
      </c>
      <c r="AN14" s="19">
        <v>1.3</v>
      </c>
      <c r="AO14" s="19">
        <v>1.3</v>
      </c>
      <c r="AP14" s="19">
        <v>1.3</v>
      </c>
      <c r="AQ14" s="19">
        <v>1.3</v>
      </c>
      <c r="AR14" s="19">
        <v>1.3</v>
      </c>
      <c r="AS14" s="19">
        <v>1.3</v>
      </c>
      <c r="AT14" s="19">
        <v>1.3</v>
      </c>
      <c r="AU14" s="19">
        <v>1.3</v>
      </c>
      <c r="AV14" s="19">
        <v>1.3</v>
      </c>
      <c r="AW14" s="19">
        <v>1.3</v>
      </c>
      <c r="AX14" s="19">
        <v>1.3</v>
      </c>
      <c r="AY14" s="19">
        <v>1.3</v>
      </c>
      <c r="AZ14" s="19">
        <v>1.3</v>
      </c>
      <c r="BA14" s="19">
        <v>1.3</v>
      </c>
      <c r="BB14" s="19">
        <v>1.3</v>
      </c>
      <c r="BC14" s="19">
        <v>1.3</v>
      </c>
      <c r="BD14" s="12">
        <f>SUMPRODUCT($F$2:$BC$2,Table462324[[#This Row],[1]:[50]])</f>
        <v>182.33710842801423</v>
      </c>
    </row>
    <row r="15" spans="1:56" x14ac:dyDescent="0.25">
      <c r="A15" s="9">
        <v>11</v>
      </c>
      <c r="B15" s="11" t="s">
        <v>136</v>
      </c>
      <c r="C15" s="11" t="s">
        <v>137</v>
      </c>
      <c r="D15" s="11" t="s">
        <v>100</v>
      </c>
      <c r="E15" s="11" t="s">
        <v>138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>
        <v>1.3</v>
      </c>
      <c r="V15" s="11">
        <v>1</v>
      </c>
      <c r="W15" s="11"/>
      <c r="X15" s="11"/>
      <c r="Y15" s="11">
        <v>1.3</v>
      </c>
      <c r="Z15" s="11">
        <v>1</v>
      </c>
      <c r="AA15" s="11"/>
      <c r="AB15" s="11">
        <v>1.3</v>
      </c>
      <c r="AC15" s="11">
        <v>1</v>
      </c>
      <c r="AD15" s="11">
        <v>1.3</v>
      </c>
      <c r="AE15" s="19"/>
      <c r="AF15" s="19"/>
      <c r="AG15" s="19">
        <v>1</v>
      </c>
      <c r="AH15" s="19">
        <v>1</v>
      </c>
      <c r="AI15" s="19">
        <v>1.3</v>
      </c>
      <c r="AJ15" s="19">
        <v>1.3</v>
      </c>
      <c r="AK15" s="19">
        <v>1.3</v>
      </c>
      <c r="AL15" s="19">
        <v>1</v>
      </c>
      <c r="AM15" s="19">
        <v>1.3</v>
      </c>
      <c r="AN15" s="19">
        <v>1</v>
      </c>
      <c r="AO15" s="19">
        <v>1.3</v>
      </c>
      <c r="AP15" s="19">
        <v>1.3</v>
      </c>
      <c r="AQ15" s="19">
        <v>1.3</v>
      </c>
      <c r="AR15" s="19">
        <v>1.3</v>
      </c>
      <c r="AS15" s="19">
        <v>1.3</v>
      </c>
      <c r="AT15" s="19">
        <v>1.3</v>
      </c>
      <c r="AU15" s="19">
        <v>1.3</v>
      </c>
      <c r="AV15" s="19">
        <v>1.3</v>
      </c>
      <c r="AW15" s="19">
        <v>1.3</v>
      </c>
      <c r="AX15" s="19">
        <v>1.3</v>
      </c>
      <c r="AY15" s="19">
        <v>1.3</v>
      </c>
      <c r="AZ15" s="19">
        <v>1.3</v>
      </c>
      <c r="BA15" s="19">
        <v>1.3</v>
      </c>
      <c r="BB15" s="19">
        <v>1</v>
      </c>
      <c r="BC15" s="19">
        <v>1.3</v>
      </c>
      <c r="BD15" s="12">
        <f>SUMPRODUCT($F$2:$BC$2,Table462324[[#This Row],[1]:[50]])</f>
        <v>177.84456283478215</v>
      </c>
    </row>
    <row r="16" spans="1:56" x14ac:dyDescent="0.25">
      <c r="A16" s="10">
        <v>12</v>
      </c>
      <c r="B16" s="11" t="s">
        <v>231</v>
      </c>
      <c r="C16" s="11" t="s">
        <v>232</v>
      </c>
      <c r="D16" s="11" t="s">
        <v>100</v>
      </c>
      <c r="E16" s="11" t="s">
        <v>204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>
        <v>1</v>
      </c>
      <c r="V16" s="11">
        <v>1</v>
      </c>
      <c r="W16" s="11"/>
      <c r="X16" s="11">
        <v>1</v>
      </c>
      <c r="Y16" s="11"/>
      <c r="Z16" s="11">
        <v>1</v>
      </c>
      <c r="AA16" s="11"/>
      <c r="AB16" s="11"/>
      <c r="AC16" s="11">
        <v>1</v>
      </c>
      <c r="AD16" s="11">
        <v>1</v>
      </c>
      <c r="AE16" s="19"/>
      <c r="AF16" s="19">
        <v>1.3</v>
      </c>
      <c r="AG16" s="19">
        <v>1</v>
      </c>
      <c r="AH16" s="19"/>
      <c r="AI16" s="19">
        <v>1.3</v>
      </c>
      <c r="AJ16" s="19">
        <v>1.3</v>
      </c>
      <c r="AK16" s="19">
        <v>1.3</v>
      </c>
      <c r="AL16" s="19">
        <v>1</v>
      </c>
      <c r="AM16" s="19">
        <v>1</v>
      </c>
      <c r="AN16" s="19">
        <v>1.3</v>
      </c>
      <c r="AO16" s="19">
        <v>1.3</v>
      </c>
      <c r="AP16" s="19">
        <v>1.3</v>
      </c>
      <c r="AQ16" s="19">
        <v>1.3</v>
      </c>
      <c r="AR16" s="19">
        <v>1.3</v>
      </c>
      <c r="AS16" s="19">
        <v>1.3</v>
      </c>
      <c r="AT16" s="19">
        <v>1.3</v>
      </c>
      <c r="AU16" s="19">
        <v>1.3</v>
      </c>
      <c r="AV16" s="19">
        <v>1.3</v>
      </c>
      <c r="AW16" s="19">
        <v>1.3</v>
      </c>
      <c r="AX16" s="19">
        <v>1.3</v>
      </c>
      <c r="AY16" s="19">
        <v>1.3</v>
      </c>
      <c r="AZ16" s="19">
        <v>1.3</v>
      </c>
      <c r="BA16" s="19">
        <v>1.3</v>
      </c>
      <c r="BB16" s="19">
        <v>1.3</v>
      </c>
      <c r="BC16" s="19">
        <v>1.3</v>
      </c>
      <c r="BD16" s="12">
        <f>SUMPRODUCT($F$2:$BC$2,Table462324[[#This Row],[1]:[50]])</f>
        <v>166.09185514328726</v>
      </c>
    </row>
    <row r="17" spans="1:56" x14ac:dyDescent="0.25">
      <c r="A17" s="9">
        <v>13</v>
      </c>
      <c r="B17" s="11" t="s">
        <v>269</v>
      </c>
      <c r="C17" s="11" t="s">
        <v>270</v>
      </c>
      <c r="D17" s="11" t="s">
        <v>100</v>
      </c>
      <c r="E17" s="11" t="s">
        <v>272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>
        <v>1.3</v>
      </c>
      <c r="V17" s="11"/>
      <c r="W17" s="11">
        <v>1.3</v>
      </c>
      <c r="X17" s="11"/>
      <c r="Y17" s="11"/>
      <c r="Z17" s="11"/>
      <c r="AA17" s="11">
        <v>1</v>
      </c>
      <c r="AB17" s="11">
        <v>1.3</v>
      </c>
      <c r="AC17" s="11"/>
      <c r="AD17" s="11">
        <v>1</v>
      </c>
      <c r="AE17" s="19">
        <v>1</v>
      </c>
      <c r="AF17" s="19"/>
      <c r="AG17" s="19">
        <v>1.3</v>
      </c>
      <c r="AH17" s="19"/>
      <c r="AI17" s="19">
        <v>1.3</v>
      </c>
      <c r="AJ17" s="19">
        <v>1.3</v>
      </c>
      <c r="AK17" s="19">
        <v>1.3</v>
      </c>
      <c r="AL17" s="19">
        <v>1</v>
      </c>
      <c r="AM17" s="19">
        <v>1.3</v>
      </c>
      <c r="AN17" s="19"/>
      <c r="AO17" s="19">
        <v>1.3</v>
      </c>
      <c r="AP17" s="19">
        <v>1.3</v>
      </c>
      <c r="AQ17" s="19">
        <v>1.3</v>
      </c>
      <c r="AR17" s="19">
        <v>1.3</v>
      </c>
      <c r="AS17" s="19">
        <v>1.3</v>
      </c>
      <c r="AT17" s="19">
        <v>1.3</v>
      </c>
      <c r="AU17" s="19">
        <v>1.3</v>
      </c>
      <c r="AV17" s="19">
        <v>1.3</v>
      </c>
      <c r="AW17" s="19">
        <v>1.3</v>
      </c>
      <c r="AX17" s="19">
        <v>1.3</v>
      </c>
      <c r="AY17" s="19">
        <v>1.3</v>
      </c>
      <c r="AZ17" s="19">
        <v>1.3</v>
      </c>
      <c r="BA17" s="19">
        <v>1.3</v>
      </c>
      <c r="BB17" s="19">
        <v>1.3</v>
      </c>
      <c r="BC17" s="19">
        <v>1.3</v>
      </c>
      <c r="BD17" s="12">
        <f>SUMPRODUCT($F$2:$BC$2,Table462324[[#This Row],[1]:[50]])</f>
        <v>151.73634515619835</v>
      </c>
    </row>
    <row r="18" spans="1:56" x14ac:dyDescent="0.25">
      <c r="A18" s="10">
        <v>14</v>
      </c>
      <c r="B18" s="11" t="s">
        <v>321</v>
      </c>
      <c r="C18" s="11" t="s">
        <v>322</v>
      </c>
      <c r="D18" s="11" t="s">
        <v>100</v>
      </c>
      <c r="E18" s="11" t="s">
        <v>125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>
        <v>1</v>
      </c>
      <c r="V18" s="11"/>
      <c r="W18" s="11"/>
      <c r="X18" s="11"/>
      <c r="Y18" s="11">
        <v>1.3</v>
      </c>
      <c r="Z18" s="11">
        <v>1.3</v>
      </c>
      <c r="AA18" s="11">
        <v>1.3</v>
      </c>
      <c r="AB18" s="11">
        <v>1.3</v>
      </c>
      <c r="AC18" s="11"/>
      <c r="AD18" s="11">
        <v>1</v>
      </c>
      <c r="AE18" s="19">
        <v>1</v>
      </c>
      <c r="AF18" s="19">
        <v>1.3</v>
      </c>
      <c r="AG18" s="19"/>
      <c r="AH18" s="19"/>
      <c r="AI18" s="19"/>
      <c r="AJ18" s="19">
        <v>1.3</v>
      </c>
      <c r="AK18" s="19">
        <v>1.3</v>
      </c>
      <c r="AL18" s="19">
        <v>1</v>
      </c>
      <c r="AM18" s="19"/>
      <c r="AN18" s="19">
        <v>1.3</v>
      </c>
      <c r="AO18" s="19">
        <v>1.3</v>
      </c>
      <c r="AP18" s="19">
        <v>1.3</v>
      </c>
      <c r="AQ18" s="19">
        <v>1.3</v>
      </c>
      <c r="AR18" s="19">
        <v>1.3</v>
      </c>
      <c r="AS18" s="19">
        <v>1.3</v>
      </c>
      <c r="AT18" s="19">
        <v>1.3</v>
      </c>
      <c r="AU18" s="19">
        <v>1.3</v>
      </c>
      <c r="AV18" s="19">
        <v>1.3</v>
      </c>
      <c r="AW18" s="19"/>
      <c r="AX18" s="19">
        <v>1.3</v>
      </c>
      <c r="AY18" s="19">
        <v>1.3</v>
      </c>
      <c r="AZ18" s="19">
        <v>1.3</v>
      </c>
      <c r="BA18" s="19"/>
      <c r="BB18" s="19">
        <v>1.3</v>
      </c>
      <c r="BC18" s="19">
        <v>1.3</v>
      </c>
      <c r="BD18" s="12">
        <f>SUMPRODUCT($F$2:$BC$2,Table462324[[#This Row],[1]:[50]])</f>
        <v>150.63948368433685</v>
      </c>
    </row>
    <row r="19" spans="1:56" x14ac:dyDescent="0.25">
      <c r="A19" s="9">
        <v>15</v>
      </c>
      <c r="B19" s="11" t="s">
        <v>364</v>
      </c>
      <c r="C19" s="11" t="s">
        <v>365</v>
      </c>
      <c r="D19" s="11" t="s">
        <v>100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>
        <v>1</v>
      </c>
      <c r="V19" s="11"/>
      <c r="W19" s="11">
        <v>1</v>
      </c>
      <c r="X19" s="11"/>
      <c r="Y19" s="11"/>
      <c r="Z19" s="11"/>
      <c r="AA19" s="11">
        <v>1</v>
      </c>
      <c r="AB19" s="11">
        <v>1</v>
      </c>
      <c r="AC19" s="11">
        <v>1.3</v>
      </c>
      <c r="AD19" s="11">
        <v>1.3</v>
      </c>
      <c r="AE19" s="19">
        <v>1</v>
      </c>
      <c r="AF19" s="19">
        <v>1</v>
      </c>
      <c r="AG19" s="19">
        <v>1</v>
      </c>
      <c r="AH19" s="19"/>
      <c r="AI19" s="19">
        <v>1.3</v>
      </c>
      <c r="AJ19" s="19">
        <v>1.3</v>
      </c>
      <c r="AK19" s="19">
        <v>1.3</v>
      </c>
      <c r="AL19" s="19">
        <v>1.3</v>
      </c>
      <c r="AM19" s="19">
        <v>1.3</v>
      </c>
      <c r="AN19" s="19">
        <v>1</v>
      </c>
      <c r="AO19" s="19"/>
      <c r="AP19" s="19"/>
      <c r="AQ19" s="19">
        <v>1.3</v>
      </c>
      <c r="AR19" s="19">
        <v>1.3</v>
      </c>
      <c r="AS19" s="19">
        <v>1.3</v>
      </c>
      <c r="AT19" s="19">
        <v>1.3</v>
      </c>
      <c r="AU19" s="19"/>
      <c r="AV19" s="19">
        <v>1.3</v>
      </c>
      <c r="AW19" s="19">
        <v>1.3</v>
      </c>
      <c r="AX19" s="19"/>
      <c r="AY19" s="19">
        <v>1.3</v>
      </c>
      <c r="AZ19" s="19">
        <v>1.3</v>
      </c>
      <c r="BA19" s="19">
        <v>1.3</v>
      </c>
      <c r="BB19" s="19"/>
      <c r="BC19" s="19">
        <v>1.3</v>
      </c>
      <c r="BD19" s="12">
        <f>SUMPRODUCT($F$2:$BC$2,Table462324[[#This Row],[1]:[50]])</f>
        <v>141.21746786855678</v>
      </c>
    </row>
    <row r="20" spans="1:56" x14ac:dyDescent="0.25">
      <c r="A20" s="10">
        <v>16</v>
      </c>
      <c r="B20" s="11" t="s">
        <v>434</v>
      </c>
      <c r="C20" s="11" t="s">
        <v>435</v>
      </c>
      <c r="D20" s="11" t="s">
        <v>100</v>
      </c>
      <c r="E20" s="11" t="s">
        <v>436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>
        <v>1</v>
      </c>
      <c r="AB20" s="11">
        <v>1.3</v>
      </c>
      <c r="AC20" s="11">
        <v>1</v>
      </c>
      <c r="AD20" s="11">
        <v>1.3</v>
      </c>
      <c r="AE20" s="19">
        <v>1</v>
      </c>
      <c r="AF20" s="19"/>
      <c r="AG20" s="19">
        <v>1</v>
      </c>
      <c r="AH20" s="19"/>
      <c r="AI20" s="19">
        <v>1</v>
      </c>
      <c r="AJ20" s="19">
        <v>1</v>
      </c>
      <c r="AK20" s="19">
        <v>1.3</v>
      </c>
      <c r="AL20" s="19">
        <v>1</v>
      </c>
      <c r="AM20" s="19">
        <v>1.3</v>
      </c>
      <c r="AN20" s="19"/>
      <c r="AO20" s="19">
        <v>1.3</v>
      </c>
      <c r="AP20" s="19">
        <v>1.3</v>
      </c>
      <c r="AQ20" s="19">
        <v>1.3</v>
      </c>
      <c r="AR20" s="19">
        <v>1.3</v>
      </c>
      <c r="AS20" s="19">
        <v>1.3</v>
      </c>
      <c r="AT20" s="19">
        <v>1.3</v>
      </c>
      <c r="AU20" s="19">
        <v>1.3</v>
      </c>
      <c r="AV20" s="19">
        <v>1.3</v>
      </c>
      <c r="AW20" s="19">
        <v>1.3</v>
      </c>
      <c r="AX20" s="19">
        <v>1.3</v>
      </c>
      <c r="AY20" s="19">
        <v>1.3</v>
      </c>
      <c r="AZ20" s="19">
        <v>1.3</v>
      </c>
      <c r="BA20" s="19">
        <v>1.3</v>
      </c>
      <c r="BB20" s="19">
        <v>1.3</v>
      </c>
      <c r="BC20" s="19">
        <v>1.3</v>
      </c>
      <c r="BD20" s="12">
        <f>SUMPRODUCT($F$2:$BC$2,Table462324[[#This Row],[1]:[50]])</f>
        <v>134.24325637363589</v>
      </c>
    </row>
    <row r="21" spans="1:56" x14ac:dyDescent="0.25">
      <c r="A21" s="9">
        <v>17</v>
      </c>
      <c r="B21" s="11" t="s">
        <v>424</v>
      </c>
      <c r="C21" s="11" t="s">
        <v>425</v>
      </c>
      <c r="D21" s="11" t="s">
        <v>100</v>
      </c>
      <c r="E21" s="11" t="s">
        <v>115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>
        <v>1</v>
      </c>
      <c r="AA21" s="11">
        <v>1.3</v>
      </c>
      <c r="AB21" s="11">
        <v>1.3</v>
      </c>
      <c r="AC21" s="11">
        <v>1</v>
      </c>
      <c r="AD21" s="11">
        <v>1.3</v>
      </c>
      <c r="AE21" s="19"/>
      <c r="AF21" s="19"/>
      <c r="AG21" s="19">
        <v>1</v>
      </c>
      <c r="AH21" s="19"/>
      <c r="AI21" s="19"/>
      <c r="AJ21" s="19">
        <v>1.3</v>
      </c>
      <c r="AK21" s="19">
        <v>1.3</v>
      </c>
      <c r="AL21" s="19"/>
      <c r="AM21" s="19">
        <v>1</v>
      </c>
      <c r="AN21" s="19">
        <v>1</v>
      </c>
      <c r="AO21" s="19">
        <v>1.3</v>
      </c>
      <c r="AP21" s="19">
        <v>1.3</v>
      </c>
      <c r="AQ21" s="19">
        <v>1.3</v>
      </c>
      <c r="AR21" s="19">
        <v>1.3</v>
      </c>
      <c r="AS21" s="19">
        <v>1.3</v>
      </c>
      <c r="AT21" s="19">
        <v>1.3</v>
      </c>
      <c r="AU21" s="19">
        <v>1.3</v>
      </c>
      <c r="AV21" s="19">
        <v>1.3</v>
      </c>
      <c r="AW21" s="19"/>
      <c r="AX21" s="19">
        <v>1.3</v>
      </c>
      <c r="AY21" s="19">
        <v>1.3</v>
      </c>
      <c r="AZ21" s="19">
        <v>1.3</v>
      </c>
      <c r="BA21" s="19">
        <v>1.3</v>
      </c>
      <c r="BB21" s="19"/>
      <c r="BC21" s="19">
        <v>1.3</v>
      </c>
      <c r="BD21" s="12">
        <f>SUMPRODUCT($F$2:$BC$2,Table462324[[#This Row],[1]:[50]])</f>
        <v>121.86921149530041</v>
      </c>
    </row>
    <row r="22" spans="1:56" x14ac:dyDescent="0.25">
      <c r="A22" s="10">
        <v>18</v>
      </c>
      <c r="B22" s="11" t="s">
        <v>136</v>
      </c>
      <c r="C22" s="11" t="s">
        <v>405</v>
      </c>
      <c r="D22" s="11" t="s">
        <v>100</v>
      </c>
      <c r="E22" s="11" t="s">
        <v>115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>
        <v>1</v>
      </c>
      <c r="V22" s="11"/>
      <c r="W22" s="11"/>
      <c r="X22" s="11"/>
      <c r="Y22" s="11"/>
      <c r="Z22" s="11"/>
      <c r="AA22" s="11"/>
      <c r="AB22" s="11">
        <v>1</v>
      </c>
      <c r="AC22" s="11">
        <v>1</v>
      </c>
      <c r="AD22" s="11"/>
      <c r="AE22" s="19"/>
      <c r="AF22" s="19">
        <v>1</v>
      </c>
      <c r="AG22" s="19"/>
      <c r="AH22" s="19"/>
      <c r="AI22" s="19"/>
      <c r="AJ22" s="19">
        <v>1.3</v>
      </c>
      <c r="AK22" s="19">
        <v>1.3</v>
      </c>
      <c r="AL22" s="19">
        <v>1</v>
      </c>
      <c r="AM22" s="19">
        <v>1</v>
      </c>
      <c r="AN22" s="19">
        <v>1</v>
      </c>
      <c r="AO22" s="19">
        <v>1.3</v>
      </c>
      <c r="AP22" s="19">
        <v>1.3</v>
      </c>
      <c r="AQ22" s="19">
        <v>1.3</v>
      </c>
      <c r="AR22" s="19">
        <v>1.3</v>
      </c>
      <c r="AS22" s="19">
        <v>1.3</v>
      </c>
      <c r="AT22" s="19">
        <v>1.3</v>
      </c>
      <c r="AU22" s="19">
        <v>1.3</v>
      </c>
      <c r="AV22" s="19">
        <v>1.3</v>
      </c>
      <c r="AW22" s="19">
        <v>1.3</v>
      </c>
      <c r="AX22" s="19">
        <v>1.3</v>
      </c>
      <c r="AY22" s="19">
        <v>1.3</v>
      </c>
      <c r="AZ22" s="19">
        <v>1.3</v>
      </c>
      <c r="BA22" s="19">
        <v>1.3</v>
      </c>
      <c r="BB22" s="19">
        <v>1.3</v>
      </c>
      <c r="BC22" s="19">
        <v>1.3</v>
      </c>
      <c r="BD22" s="12">
        <f>SUMPRODUCT($F$2:$BC$2,Table462324[[#This Row],[1]:[50]])</f>
        <v>121.13719576757531</v>
      </c>
    </row>
    <row r="23" spans="1:56" x14ac:dyDescent="0.25">
      <c r="A23" s="9">
        <v>19</v>
      </c>
      <c r="B23" s="11" t="s">
        <v>414</v>
      </c>
      <c r="C23" s="11" t="s">
        <v>415</v>
      </c>
      <c r="D23" s="11" t="s">
        <v>100</v>
      </c>
      <c r="E23" s="11" t="s">
        <v>115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>
        <v>1.3</v>
      </c>
      <c r="AB23" s="11">
        <v>1</v>
      </c>
      <c r="AC23" s="11"/>
      <c r="AD23" s="11">
        <v>1.3</v>
      </c>
      <c r="AE23" s="19"/>
      <c r="AF23" s="19"/>
      <c r="AG23" s="19">
        <v>1.3</v>
      </c>
      <c r="AH23" s="19"/>
      <c r="AI23" s="19"/>
      <c r="AJ23" s="19">
        <v>1.3</v>
      </c>
      <c r="AK23" s="19">
        <v>1.3</v>
      </c>
      <c r="AL23" s="19"/>
      <c r="AM23" s="19">
        <v>1.3</v>
      </c>
      <c r="AN23" s="19">
        <v>1</v>
      </c>
      <c r="AO23" s="19">
        <v>1.3</v>
      </c>
      <c r="AP23" s="19">
        <v>1.3</v>
      </c>
      <c r="AQ23" s="19">
        <v>1.3</v>
      </c>
      <c r="AR23" s="19">
        <v>1.3</v>
      </c>
      <c r="AS23" s="19">
        <v>1.3</v>
      </c>
      <c r="AT23" s="19">
        <v>1.3</v>
      </c>
      <c r="AU23" s="19">
        <v>1.3</v>
      </c>
      <c r="AV23" s="19">
        <v>1.3</v>
      </c>
      <c r="AW23" s="19">
        <v>1.3</v>
      </c>
      <c r="AX23" s="19">
        <v>1.3</v>
      </c>
      <c r="AY23" s="19">
        <v>1.3</v>
      </c>
      <c r="AZ23" s="19">
        <v>1.3</v>
      </c>
      <c r="BA23" s="19">
        <v>1.3</v>
      </c>
      <c r="BB23" s="19">
        <v>1.3</v>
      </c>
      <c r="BC23" s="19">
        <v>1.3</v>
      </c>
      <c r="BD23" s="12">
        <f>SUMPRODUCT($F$2:$BC$2,Table462324[[#This Row],[1]:[50]])</f>
        <v>119.56750449393667</v>
      </c>
    </row>
    <row r="24" spans="1:56" x14ac:dyDescent="0.25">
      <c r="A24" s="10">
        <v>20</v>
      </c>
      <c r="B24" s="5" t="s">
        <v>366</v>
      </c>
      <c r="C24" s="5" t="s">
        <v>367</v>
      </c>
      <c r="D24" s="5" t="s">
        <v>100</v>
      </c>
      <c r="E24" s="5" t="s">
        <v>368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>
        <v>1</v>
      </c>
      <c r="AB24" s="11">
        <v>1.3</v>
      </c>
      <c r="AC24" s="11">
        <v>1</v>
      </c>
      <c r="AD24" s="11">
        <v>1</v>
      </c>
      <c r="AE24" s="19"/>
      <c r="AF24" s="19"/>
      <c r="AG24" s="19"/>
      <c r="AH24" s="19"/>
      <c r="AI24" s="19">
        <v>1.3</v>
      </c>
      <c r="AJ24" s="19">
        <v>1.3</v>
      </c>
      <c r="AK24" s="19">
        <v>1.3</v>
      </c>
      <c r="AL24" s="19"/>
      <c r="AM24" s="19">
        <v>1</v>
      </c>
      <c r="AN24" s="19"/>
      <c r="AO24" s="19">
        <v>1.3</v>
      </c>
      <c r="AP24" s="19">
        <v>1.3</v>
      </c>
      <c r="AQ24" s="19">
        <v>1.3</v>
      </c>
      <c r="AR24" s="19">
        <v>1.3</v>
      </c>
      <c r="AS24" s="19"/>
      <c r="AT24" s="19">
        <v>1.3</v>
      </c>
      <c r="AU24" s="19">
        <v>1.3</v>
      </c>
      <c r="AV24" s="19">
        <v>1.3</v>
      </c>
      <c r="AW24" s="19">
        <v>1.3</v>
      </c>
      <c r="AX24" s="19">
        <v>1.3</v>
      </c>
      <c r="AY24" s="19">
        <v>1.3</v>
      </c>
      <c r="AZ24" s="19">
        <v>1.3</v>
      </c>
      <c r="BA24" s="19">
        <v>1.3</v>
      </c>
      <c r="BB24" s="19">
        <v>1.3</v>
      </c>
      <c r="BC24" s="19">
        <v>1.3</v>
      </c>
      <c r="BD24" s="12">
        <f>SUMPRODUCT($F$2:$BC$2,Table462324[[#This Row],[1]:[50]])</f>
        <v>111.16552416432476</v>
      </c>
    </row>
    <row r="25" spans="1:56" x14ac:dyDescent="0.25">
      <c r="A25" s="9">
        <v>21</v>
      </c>
      <c r="B25" s="11" t="s">
        <v>353</v>
      </c>
      <c r="C25" s="11" t="s">
        <v>354</v>
      </c>
      <c r="D25" s="11" t="s">
        <v>100</v>
      </c>
      <c r="E25" s="11" t="s">
        <v>125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>
        <v>1</v>
      </c>
      <c r="AC25" s="11">
        <v>1</v>
      </c>
      <c r="AD25" s="11"/>
      <c r="AE25" s="19"/>
      <c r="AF25" s="19"/>
      <c r="AG25" s="19"/>
      <c r="AH25" s="19"/>
      <c r="AI25" s="19">
        <v>1</v>
      </c>
      <c r="AJ25" s="19">
        <v>1.3</v>
      </c>
      <c r="AK25" s="19">
        <v>1.3</v>
      </c>
      <c r="AL25" s="19"/>
      <c r="AM25" s="19">
        <v>1.3</v>
      </c>
      <c r="AN25" s="19">
        <v>1.3</v>
      </c>
      <c r="AO25" s="19">
        <v>1.3</v>
      </c>
      <c r="AP25" s="19">
        <v>1.3</v>
      </c>
      <c r="AQ25" s="19">
        <v>1.3</v>
      </c>
      <c r="AR25" s="19">
        <v>1.3</v>
      </c>
      <c r="AS25" s="19">
        <v>1.3</v>
      </c>
      <c r="AT25" s="19">
        <v>1.3</v>
      </c>
      <c r="AU25" s="19">
        <v>1.3</v>
      </c>
      <c r="AV25" s="19">
        <v>1.3</v>
      </c>
      <c r="AW25" s="19">
        <v>1.3</v>
      </c>
      <c r="AX25" s="19">
        <v>1.3</v>
      </c>
      <c r="AY25" s="19">
        <v>1.3</v>
      </c>
      <c r="AZ25" s="19">
        <v>1.3</v>
      </c>
      <c r="BA25" s="19">
        <v>1.3</v>
      </c>
      <c r="BB25" s="19">
        <v>1.3</v>
      </c>
      <c r="BC25" s="19">
        <v>1.3</v>
      </c>
      <c r="BD25" s="12">
        <f>SUMPRODUCT($F$2:$BC$2,Table462324[[#This Row],[1]:[50]])</f>
        <v>110.82581124566448</v>
      </c>
    </row>
    <row r="26" spans="1:56" x14ac:dyDescent="0.25">
      <c r="A26" s="10">
        <v>22</v>
      </c>
      <c r="B26" s="11" t="s">
        <v>389</v>
      </c>
      <c r="C26" s="11" t="s">
        <v>390</v>
      </c>
      <c r="D26" s="11" t="s">
        <v>100</v>
      </c>
      <c r="E26" s="11" t="s">
        <v>391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>
        <v>1</v>
      </c>
      <c r="AC26" s="11"/>
      <c r="AD26" s="11"/>
      <c r="AE26" s="19"/>
      <c r="AF26" s="19"/>
      <c r="AG26" s="19">
        <v>1</v>
      </c>
      <c r="AH26" s="19"/>
      <c r="AI26" s="19"/>
      <c r="AJ26" s="19">
        <v>1.3</v>
      </c>
      <c r="AK26" s="19">
        <v>1.3</v>
      </c>
      <c r="AL26" s="19">
        <v>1</v>
      </c>
      <c r="AM26" s="19">
        <v>1</v>
      </c>
      <c r="AN26" s="19"/>
      <c r="AO26" s="19">
        <v>1.3</v>
      </c>
      <c r="AP26" s="19">
        <v>1.3</v>
      </c>
      <c r="AQ26" s="19">
        <v>1.3</v>
      </c>
      <c r="AR26" s="19">
        <v>1.3</v>
      </c>
      <c r="AS26" s="19">
        <v>1.3</v>
      </c>
      <c r="AT26" s="19">
        <v>1.3</v>
      </c>
      <c r="AU26" s="19">
        <v>1.3</v>
      </c>
      <c r="AV26" s="19">
        <v>1.3</v>
      </c>
      <c r="AW26" s="19">
        <v>1.3</v>
      </c>
      <c r="AX26" s="19">
        <v>1.3</v>
      </c>
      <c r="AY26" s="19">
        <v>1.3</v>
      </c>
      <c r="AZ26" s="19">
        <v>1.3</v>
      </c>
      <c r="BA26" s="19">
        <v>1.3</v>
      </c>
      <c r="BB26" s="19">
        <v>1.3</v>
      </c>
      <c r="BC26" s="19">
        <v>1.3</v>
      </c>
      <c r="BD26" s="12">
        <f>SUMPRODUCT($F$2:$BC$2,Table462324[[#This Row],[1]:[50]])</f>
        <v>102.88322751360707</v>
      </c>
    </row>
    <row r="27" spans="1:56" x14ac:dyDescent="0.25">
      <c r="A27" s="9">
        <v>23</v>
      </c>
      <c r="B27" s="11" t="s">
        <v>252</v>
      </c>
      <c r="C27" s="11" t="s">
        <v>253</v>
      </c>
      <c r="D27" s="11" t="s">
        <v>100</v>
      </c>
      <c r="E27" s="11" t="s">
        <v>186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>
        <v>1</v>
      </c>
      <c r="AE27" s="19"/>
      <c r="AF27" s="19"/>
      <c r="AG27" s="19"/>
      <c r="AH27" s="19"/>
      <c r="AI27" s="19">
        <v>1</v>
      </c>
      <c r="AJ27" s="19">
        <v>1</v>
      </c>
      <c r="AK27" s="19">
        <v>1.3</v>
      </c>
      <c r="AL27" s="19"/>
      <c r="AM27" s="19">
        <v>1</v>
      </c>
      <c r="AN27" s="19">
        <v>1</v>
      </c>
      <c r="AO27" s="19">
        <v>1.3</v>
      </c>
      <c r="AP27" s="19">
        <v>1.3</v>
      </c>
      <c r="AQ27" s="19">
        <v>1.3</v>
      </c>
      <c r="AR27" s="19">
        <v>1.3</v>
      </c>
      <c r="AS27" s="19">
        <v>1.3</v>
      </c>
      <c r="AT27" s="19">
        <v>1.3</v>
      </c>
      <c r="AU27" s="19">
        <v>1.3</v>
      </c>
      <c r="AV27" s="19">
        <v>1.3</v>
      </c>
      <c r="AW27" s="19">
        <v>1.3</v>
      </c>
      <c r="AX27" s="19">
        <v>1.3</v>
      </c>
      <c r="AY27" s="19">
        <v>1.3</v>
      </c>
      <c r="AZ27" s="19">
        <v>1.3</v>
      </c>
      <c r="BA27" s="19">
        <v>1.3</v>
      </c>
      <c r="BB27" s="19">
        <v>1.3</v>
      </c>
      <c r="BC27" s="19">
        <v>1</v>
      </c>
      <c r="BD27" s="12">
        <f>SUMPRODUCT($F$2:$BC$2,Table462324[[#This Row],[1]:[50]])</f>
        <v>100.52392015429972</v>
      </c>
    </row>
    <row r="28" spans="1:56" x14ac:dyDescent="0.25">
      <c r="A28" s="10">
        <v>24</v>
      </c>
      <c r="B28" s="11" t="s">
        <v>102</v>
      </c>
      <c r="C28" s="11" t="s">
        <v>163</v>
      </c>
      <c r="D28" s="11" t="s">
        <v>100</v>
      </c>
      <c r="E28" s="11" t="s">
        <v>164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>
        <v>1</v>
      </c>
      <c r="AC28" s="11">
        <v>1</v>
      </c>
      <c r="AD28" s="11">
        <v>1</v>
      </c>
      <c r="AE28" s="19"/>
      <c r="AF28" s="19"/>
      <c r="AG28" s="19"/>
      <c r="AH28" s="19"/>
      <c r="AI28" s="19"/>
      <c r="AJ28" s="19">
        <v>1.3</v>
      </c>
      <c r="AK28" s="19">
        <v>1.3</v>
      </c>
      <c r="AL28" s="19"/>
      <c r="AM28" s="19"/>
      <c r="AN28" s="19"/>
      <c r="AO28" s="19">
        <v>1.3</v>
      </c>
      <c r="AP28" s="19">
        <v>1.3</v>
      </c>
      <c r="AQ28" s="19">
        <v>1.3</v>
      </c>
      <c r="AR28" s="19">
        <v>1.3</v>
      </c>
      <c r="AS28" s="19">
        <v>1.3</v>
      </c>
      <c r="AT28" s="19">
        <v>1.3</v>
      </c>
      <c r="AU28" s="19">
        <v>1.3</v>
      </c>
      <c r="AV28" s="19">
        <v>1.3</v>
      </c>
      <c r="AW28" s="19">
        <v>1.3</v>
      </c>
      <c r="AX28" s="19">
        <v>1.3</v>
      </c>
      <c r="AY28" s="19">
        <v>1.3</v>
      </c>
      <c r="AZ28" s="19">
        <v>1.3</v>
      </c>
      <c r="BA28" s="19">
        <v>1.3</v>
      </c>
      <c r="BB28" s="19">
        <v>1.3</v>
      </c>
      <c r="BC28" s="19">
        <v>1.3</v>
      </c>
      <c r="BD28" s="12">
        <f>SUMPRODUCT($F$2:$BC$2,Table462324[[#This Row],[1]:[50]])</f>
        <v>97.620069618870218</v>
      </c>
    </row>
    <row r="29" spans="1:56" x14ac:dyDescent="0.25">
      <c r="A29" s="9">
        <v>25</v>
      </c>
      <c r="B29" s="11" t="s">
        <v>165</v>
      </c>
      <c r="C29" s="11" t="s">
        <v>166</v>
      </c>
      <c r="D29" s="11" t="s">
        <v>100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>
        <v>1.3</v>
      </c>
      <c r="V29" s="11">
        <v>1.3</v>
      </c>
      <c r="W29" s="11"/>
      <c r="X29" s="11"/>
      <c r="Y29" s="11">
        <v>1.3</v>
      </c>
      <c r="Z29" s="11"/>
      <c r="AA29" s="11"/>
      <c r="AB29" s="11"/>
      <c r="AC29" s="11"/>
      <c r="AD29" s="11">
        <v>1.3</v>
      </c>
      <c r="AE29" s="19">
        <v>1.3</v>
      </c>
      <c r="AF29" s="19"/>
      <c r="AG29" s="19">
        <v>1.3</v>
      </c>
      <c r="AH29" s="19">
        <v>1</v>
      </c>
      <c r="AI29" s="19">
        <v>1.3</v>
      </c>
      <c r="AJ29" s="19">
        <v>1.3</v>
      </c>
      <c r="AK29" s="19">
        <v>1.3</v>
      </c>
      <c r="AL29" s="19">
        <v>1</v>
      </c>
      <c r="AM29" s="19"/>
      <c r="AN29" s="19">
        <v>1</v>
      </c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2">
        <f>SUMPRODUCT($F$2:$BC$2,Table462324[[#This Row],[1]:[50]])</f>
        <v>92.986530677093299</v>
      </c>
    </row>
    <row r="30" spans="1:56" x14ac:dyDescent="0.25">
      <c r="A30" s="10">
        <v>26</v>
      </c>
      <c r="B30" s="11" t="s">
        <v>422</v>
      </c>
      <c r="C30" s="11" t="s">
        <v>423</v>
      </c>
      <c r="D30" s="11" t="s">
        <v>100</v>
      </c>
      <c r="E30" s="11" t="s">
        <v>115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>
        <v>1</v>
      </c>
      <c r="V30" s="11"/>
      <c r="W30" s="11"/>
      <c r="X30" s="11"/>
      <c r="Y30" s="11"/>
      <c r="Z30" s="11"/>
      <c r="AA30" s="11"/>
      <c r="AB30" s="11">
        <v>1</v>
      </c>
      <c r="AC30" s="11">
        <v>1</v>
      </c>
      <c r="AD30" s="11"/>
      <c r="AE30" s="19"/>
      <c r="AF30" s="19"/>
      <c r="AG30" s="19"/>
      <c r="AH30" s="19"/>
      <c r="AI30" s="19">
        <v>1</v>
      </c>
      <c r="AJ30" s="19">
        <v>1</v>
      </c>
      <c r="AK30" s="19">
        <v>1.3</v>
      </c>
      <c r="AL30" s="19"/>
      <c r="AM30" s="19">
        <v>1</v>
      </c>
      <c r="AN30" s="19"/>
      <c r="AO30" s="19">
        <v>1.3</v>
      </c>
      <c r="AP30" s="19"/>
      <c r="AQ30" s="19">
        <v>1.3</v>
      </c>
      <c r="AR30" s="19">
        <v>1.3</v>
      </c>
      <c r="AS30" s="19">
        <v>1.3</v>
      </c>
      <c r="AT30" s="19">
        <v>1.3</v>
      </c>
      <c r="AU30" s="19">
        <v>1.3</v>
      </c>
      <c r="AV30" s="19">
        <v>1.3</v>
      </c>
      <c r="AW30" s="19">
        <v>1.3</v>
      </c>
      <c r="AX30" s="19">
        <v>1.3</v>
      </c>
      <c r="AY30" s="19"/>
      <c r="AZ30" s="19">
        <v>1.3</v>
      </c>
      <c r="BA30" s="19">
        <v>1.3</v>
      </c>
      <c r="BB30" s="19"/>
      <c r="BC30" s="19">
        <v>1.3</v>
      </c>
      <c r="BD30" s="12">
        <f>SUMPRODUCT($F$2:$BC$2,Table462324[[#This Row],[1]:[50]])</f>
        <v>91.397525335456365</v>
      </c>
    </row>
    <row r="31" spans="1:56" x14ac:dyDescent="0.25">
      <c r="A31" s="9">
        <v>27</v>
      </c>
      <c r="B31" s="11" t="s">
        <v>381</v>
      </c>
      <c r="C31" s="11" t="s">
        <v>382</v>
      </c>
      <c r="D31" s="11" t="s">
        <v>100</v>
      </c>
      <c r="E31" s="11" t="s">
        <v>125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>
        <v>1</v>
      </c>
      <c r="X31" s="11"/>
      <c r="Y31" s="11"/>
      <c r="Z31" s="11"/>
      <c r="AA31" s="11"/>
      <c r="AB31" s="11">
        <v>1</v>
      </c>
      <c r="AC31" s="11"/>
      <c r="AD31" s="11"/>
      <c r="AE31" s="19"/>
      <c r="AF31" s="19">
        <v>1.3</v>
      </c>
      <c r="AG31" s="19"/>
      <c r="AH31" s="19"/>
      <c r="AI31" s="19"/>
      <c r="AJ31" s="19">
        <v>1.3</v>
      </c>
      <c r="AK31" s="19">
        <v>1</v>
      </c>
      <c r="AL31" s="19"/>
      <c r="AM31" s="19"/>
      <c r="AN31" s="19"/>
      <c r="AO31" s="19">
        <v>1.3</v>
      </c>
      <c r="AP31" s="19"/>
      <c r="AQ31" s="19">
        <v>1.3</v>
      </c>
      <c r="AR31" s="19"/>
      <c r="AS31" s="19">
        <v>1.3</v>
      </c>
      <c r="AT31" s="19">
        <v>1.3</v>
      </c>
      <c r="AU31" s="19">
        <v>1.3</v>
      </c>
      <c r="AV31" s="19"/>
      <c r="AW31" s="19">
        <v>1.3</v>
      </c>
      <c r="AX31" s="19">
        <v>1.3</v>
      </c>
      <c r="AY31" s="19">
        <v>1.3</v>
      </c>
      <c r="AZ31" s="19">
        <v>1.3</v>
      </c>
      <c r="BA31" s="19">
        <v>1.3</v>
      </c>
      <c r="BB31" s="19">
        <v>1.3</v>
      </c>
      <c r="BC31" s="19">
        <v>1.3</v>
      </c>
      <c r="BD31" s="12">
        <f>SUMPRODUCT($F$2:$BC$2,Table462324[[#This Row],[1]:[50]])</f>
        <v>90.755476230138896</v>
      </c>
    </row>
    <row r="32" spans="1:56" x14ac:dyDescent="0.25">
      <c r="A32" s="10">
        <v>28</v>
      </c>
      <c r="B32" s="11" t="s">
        <v>130</v>
      </c>
      <c r="C32" s="11" t="s">
        <v>323</v>
      </c>
      <c r="D32" s="11" t="s">
        <v>100</v>
      </c>
      <c r="E32" s="11" t="s">
        <v>143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9"/>
      <c r="AF32" s="19"/>
      <c r="AG32" s="19"/>
      <c r="AH32" s="19"/>
      <c r="AI32" s="19"/>
      <c r="AJ32" s="19"/>
      <c r="AK32" s="19">
        <v>1</v>
      </c>
      <c r="AL32" s="19"/>
      <c r="AM32" s="19">
        <v>1</v>
      </c>
      <c r="AN32" s="19"/>
      <c r="AO32" s="19">
        <v>1.3</v>
      </c>
      <c r="AP32" s="19">
        <v>1.3</v>
      </c>
      <c r="AQ32" s="19">
        <v>1.3</v>
      </c>
      <c r="AR32" s="19">
        <v>1.3</v>
      </c>
      <c r="AS32" s="19">
        <v>1.3</v>
      </c>
      <c r="AT32" s="19">
        <v>1.3</v>
      </c>
      <c r="AU32" s="19">
        <v>1.3</v>
      </c>
      <c r="AV32" s="19">
        <v>1.3</v>
      </c>
      <c r="AW32" s="19">
        <v>1.3</v>
      </c>
      <c r="AX32" s="19">
        <v>1.3</v>
      </c>
      <c r="AY32" s="19">
        <v>1.3</v>
      </c>
      <c r="AZ32" s="19">
        <v>1.3</v>
      </c>
      <c r="BA32" s="19">
        <v>1.3</v>
      </c>
      <c r="BB32" s="19">
        <v>1.3</v>
      </c>
      <c r="BC32" s="19">
        <v>1.3</v>
      </c>
      <c r="BD32" s="12">
        <f>SUMPRODUCT($F$2:$BC$2,Table462324[[#This Row],[1]:[50]])</f>
        <v>82.048549823212497</v>
      </c>
    </row>
    <row r="33" spans="1:56" x14ac:dyDescent="0.25">
      <c r="A33" s="9">
        <v>29</v>
      </c>
      <c r="B33" s="11" t="s">
        <v>426</v>
      </c>
      <c r="C33" s="11" t="s">
        <v>427</v>
      </c>
      <c r="D33" s="11" t="s">
        <v>100</v>
      </c>
      <c r="E33" s="11" t="s">
        <v>115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9"/>
      <c r="AF33" s="19"/>
      <c r="AG33" s="19"/>
      <c r="AH33" s="19"/>
      <c r="AI33" s="19"/>
      <c r="AJ33" s="19"/>
      <c r="AK33" s="19">
        <v>1.3</v>
      </c>
      <c r="AL33" s="19"/>
      <c r="AM33" s="19"/>
      <c r="AN33" s="19"/>
      <c r="AO33" s="19">
        <v>1.3</v>
      </c>
      <c r="AP33" s="19">
        <v>1.3</v>
      </c>
      <c r="AQ33" s="19">
        <v>1.3</v>
      </c>
      <c r="AR33" s="19">
        <v>1.3</v>
      </c>
      <c r="AS33" s="19">
        <v>1.3</v>
      </c>
      <c r="AT33" s="19">
        <v>1.3</v>
      </c>
      <c r="AU33" s="19">
        <v>1.3</v>
      </c>
      <c r="AV33" s="19">
        <v>1.3</v>
      </c>
      <c r="AW33" s="19">
        <v>1.3</v>
      </c>
      <c r="AX33" s="19">
        <v>1.3</v>
      </c>
      <c r="AY33" s="19">
        <v>1.3</v>
      </c>
      <c r="AZ33" s="19">
        <v>1.3</v>
      </c>
      <c r="BA33" s="19">
        <v>1.3</v>
      </c>
      <c r="BB33" s="19">
        <v>1.3</v>
      </c>
      <c r="BC33" s="19">
        <v>1.3</v>
      </c>
      <c r="BD33" s="12">
        <f>SUMPRODUCT($F$2:$BC$2,Table462324[[#This Row],[1]:[50]])</f>
        <v>78.537578036378648</v>
      </c>
    </row>
  </sheetData>
  <mergeCells count="1">
    <mergeCell ref="A2:E2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"/>
  <sheetViews>
    <sheetView topLeftCell="A4" workbookViewId="0">
      <selection activeCell="C11" sqref="C11"/>
    </sheetView>
  </sheetViews>
  <sheetFormatPr defaultRowHeight="15" outlineLevelRow="1" outlineLevelCol="1" x14ac:dyDescent="0.25"/>
  <cols>
    <col min="1" max="1" width="7.85546875" customWidth="1"/>
    <col min="2" max="2" width="10.140625" bestFit="1" customWidth="1"/>
    <col min="3" max="3" width="12.140625" bestFit="1" customWidth="1"/>
    <col min="4" max="4" width="9.140625" bestFit="1" customWidth="1"/>
    <col min="5" max="5" width="20.42578125" bestFit="1" customWidth="1"/>
    <col min="6" max="14" width="4.140625" customWidth="1" outlineLevel="1"/>
    <col min="15" max="40" width="5.140625" customWidth="1" outlineLevel="1"/>
    <col min="41" max="41" width="9.140625" customWidth="1"/>
  </cols>
  <sheetData>
    <row r="1" spans="1:41" hidden="1" outlineLevel="1" x14ac:dyDescent="0.25">
      <c r="A1" t="s">
        <v>7</v>
      </c>
      <c r="B1">
        <v>50</v>
      </c>
    </row>
    <row r="2" spans="1:41" hidden="1" outlineLevel="1" x14ac:dyDescent="0.25">
      <c r="A2" s="35" t="s">
        <v>36</v>
      </c>
      <c r="B2" s="35"/>
      <c r="C2" s="35"/>
      <c r="D2" s="35"/>
      <c r="E2" s="35"/>
      <c r="F2">
        <f>IFERROR($B$1/COUNT(Table4623[1]),0)</f>
        <v>0</v>
      </c>
      <c r="G2">
        <f>IFERROR($B$1/COUNT(Table4623[2]),0)</f>
        <v>0</v>
      </c>
      <c r="H2">
        <f>IFERROR($B$1/COUNT(Table4623[3]),0)</f>
        <v>0</v>
      </c>
      <c r="I2">
        <f>IFERROR($B$1/COUNT(Table4623[4]),0)</f>
        <v>0</v>
      </c>
      <c r="J2">
        <f>IFERROR($B$1/COUNT(Table4623[5]),0)</f>
        <v>0</v>
      </c>
      <c r="K2">
        <f>IFERROR($B$1/COUNT(Table4623[6]),0)</f>
        <v>0</v>
      </c>
      <c r="L2">
        <f>IFERROR($B$1/COUNT(Table4623[7]),0)</f>
        <v>25</v>
      </c>
      <c r="M2">
        <f>IFERROR($B$1/COUNT(Table4623[8]),0)</f>
        <v>0</v>
      </c>
      <c r="N2">
        <f>IFERROR($B$1/COUNT(Table4623[9]),0)</f>
        <v>5</v>
      </c>
      <c r="O2">
        <f>IFERROR($B$1/COUNT(Table4623[10]),0)</f>
        <v>50</v>
      </c>
      <c r="P2">
        <f>IFERROR($B$1/COUNT(Table4623[11]),0)</f>
        <v>0</v>
      </c>
      <c r="Q2">
        <f>IFERROR($B$1/COUNT(Table4623[12]),0)</f>
        <v>0</v>
      </c>
      <c r="R2">
        <f>IFERROR($B$1/COUNT(Table4623[13]),0)</f>
        <v>12.5</v>
      </c>
      <c r="S2">
        <f>IFERROR($B$1/COUNT(Table4623[14]),0)</f>
        <v>3.8461538461538463</v>
      </c>
      <c r="T2">
        <f>IFERROR($B$1/COUNT(Table4623[15]),0)</f>
        <v>25</v>
      </c>
      <c r="U2">
        <f>IFERROR($B$1/COUNT(Table4623[16]),0)</f>
        <v>3.3333333333333335</v>
      </c>
      <c r="V2">
        <f>IFERROR($B$1/COUNT(Table4623[17]),0)</f>
        <v>7.1428571428571432</v>
      </c>
      <c r="W2">
        <f>IFERROR($B$1/COUNT(Table4623[18]),0)</f>
        <v>5.5555555555555554</v>
      </c>
      <c r="X2">
        <f>IFERROR($B$1/COUNT(Table4623[19]),0)</f>
        <v>10</v>
      </c>
      <c r="Y2">
        <f>IFERROR($B$1/COUNT(Table4623[20]),0)</f>
        <v>5</v>
      </c>
      <c r="Z2">
        <f>IFERROR($B$1/COUNT(Table4623[21]),0)</f>
        <v>2.9411764705882355</v>
      </c>
      <c r="AA2">
        <f>IFERROR($B$1/COUNT(Table4623[22]),0)</f>
        <v>6.25</v>
      </c>
      <c r="AB2">
        <f>IFERROR($B$1/COUNT(Table4623[23]),0)</f>
        <v>2.6315789473684212</v>
      </c>
      <c r="AC2">
        <f>IFERROR($B$1/COUNT(Table4623[24]),0)</f>
        <v>3.3333333333333335</v>
      </c>
      <c r="AD2">
        <f>IFERROR($B$1/COUNT(Table4623[25]),0)</f>
        <v>5.5555555555555554</v>
      </c>
      <c r="AE2">
        <f>IFERROR($B$1/COUNT(Table4623[26]),0)</f>
        <v>4.166666666666667</v>
      </c>
      <c r="AF2">
        <f>IFERROR($B$1/COUNT(Table4623[27]),0)</f>
        <v>2.6315789473684212</v>
      </c>
      <c r="AG2">
        <f>IFERROR($B$1/COUNT(Table4623[28]),0)</f>
        <v>4.5454545454545459</v>
      </c>
      <c r="AH2">
        <f>IFERROR($B$1/COUNT(Table4623[29]),0)</f>
        <v>5.5555555555555554</v>
      </c>
      <c r="AI2">
        <f>IFERROR($B$1/COUNT(Table4623[30]),0)</f>
        <v>3.5714285714285716</v>
      </c>
      <c r="AJ2">
        <f>IFERROR($B$1/COUNT(Table4623[31]),0)</f>
        <v>2.5</v>
      </c>
      <c r="AK2">
        <f>IFERROR($B$1/COUNT(Table4623[32]),0)</f>
        <v>2.6315789473684212</v>
      </c>
      <c r="AL2">
        <f>IFERROR($B$1/COUNT(Table4623[33]),0)</f>
        <v>2.5</v>
      </c>
      <c r="AM2">
        <f>IFERROR($B$1/COUNT(Table4623[34]),0)</f>
        <v>2.9411764705882355</v>
      </c>
      <c r="AN2">
        <f>IFERROR($B$1/COUNT(Table4623[35]),0)</f>
        <v>4.166666666666667</v>
      </c>
    </row>
    <row r="3" spans="1:41" hidden="1" outlineLevel="1" x14ac:dyDescent="0.25">
      <c r="A3" t="s">
        <v>4</v>
      </c>
      <c r="B3">
        <v>1.3</v>
      </c>
      <c r="C3" t="s">
        <v>5</v>
      </c>
      <c r="D3">
        <v>1</v>
      </c>
    </row>
    <row r="4" spans="1:41" collapsed="1" x14ac:dyDescent="0.25">
      <c r="A4" s="2" t="s">
        <v>6</v>
      </c>
      <c r="B4" s="3" t="s">
        <v>0</v>
      </c>
      <c r="C4" s="3" t="s">
        <v>1</v>
      </c>
      <c r="D4" s="3" t="s">
        <v>3</v>
      </c>
      <c r="E4" s="3" t="s">
        <v>2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  <c r="M4" s="3" t="s">
        <v>15</v>
      </c>
      <c r="N4" s="3" t="s">
        <v>16</v>
      </c>
      <c r="O4" s="3" t="s">
        <v>17</v>
      </c>
      <c r="P4" s="3" t="s">
        <v>18</v>
      </c>
      <c r="Q4" s="3" t="s">
        <v>19</v>
      </c>
      <c r="R4" s="3" t="s">
        <v>20</v>
      </c>
      <c r="S4" s="3" t="s">
        <v>21</v>
      </c>
      <c r="T4" s="3" t="s">
        <v>22</v>
      </c>
      <c r="U4" s="3" t="s">
        <v>23</v>
      </c>
      <c r="V4" s="3" t="s">
        <v>24</v>
      </c>
      <c r="W4" s="3" t="s">
        <v>25</v>
      </c>
      <c r="X4" s="3" t="s">
        <v>26</v>
      </c>
      <c r="Y4" s="3" t="s">
        <v>27</v>
      </c>
      <c r="Z4" s="3" t="s">
        <v>28</v>
      </c>
      <c r="AA4" s="3" t="s">
        <v>29</v>
      </c>
      <c r="AB4" s="3" t="s">
        <v>30</v>
      </c>
      <c r="AC4" s="3" t="s">
        <v>31</v>
      </c>
      <c r="AD4" s="3" t="s">
        <v>32</v>
      </c>
      <c r="AE4" s="4" t="s">
        <v>37</v>
      </c>
      <c r="AF4" s="4" t="s">
        <v>38</v>
      </c>
      <c r="AG4" s="4" t="s">
        <v>39</v>
      </c>
      <c r="AH4" s="4" t="s">
        <v>40</v>
      </c>
      <c r="AI4" s="4" t="s">
        <v>41</v>
      </c>
      <c r="AJ4" s="4" t="s">
        <v>43</v>
      </c>
      <c r="AK4" s="4" t="s">
        <v>44</v>
      </c>
      <c r="AL4" s="4" t="s">
        <v>45</v>
      </c>
      <c r="AM4" s="4" t="s">
        <v>46</v>
      </c>
      <c r="AN4" s="4" t="s">
        <v>47</v>
      </c>
      <c r="AO4" s="4" t="s">
        <v>33</v>
      </c>
    </row>
    <row r="5" spans="1:41" x14ac:dyDescent="0.25">
      <c r="A5" s="24">
        <v>1</v>
      </c>
      <c r="B5" s="6" t="s">
        <v>152</v>
      </c>
      <c r="C5" s="6" t="s">
        <v>153</v>
      </c>
      <c r="D5" s="6" t="s">
        <v>118</v>
      </c>
      <c r="E5" s="6" t="s">
        <v>155</v>
      </c>
      <c r="F5" s="6"/>
      <c r="G5" s="6"/>
      <c r="H5" s="6"/>
      <c r="I5" s="6"/>
      <c r="J5" s="6"/>
      <c r="K5" s="6"/>
      <c r="L5" s="6">
        <v>1</v>
      </c>
      <c r="M5" s="6"/>
      <c r="N5" s="6">
        <v>1.3</v>
      </c>
      <c r="O5" s="6"/>
      <c r="P5" s="6"/>
      <c r="Q5" s="6"/>
      <c r="R5" s="6">
        <v>1.3</v>
      </c>
      <c r="S5" s="6">
        <v>1.3</v>
      </c>
      <c r="T5" s="6">
        <v>1</v>
      </c>
      <c r="U5" s="6">
        <v>1.3</v>
      </c>
      <c r="V5" s="6">
        <v>1.3</v>
      </c>
      <c r="W5" s="6">
        <v>1.3</v>
      </c>
      <c r="X5" s="6">
        <v>1.3</v>
      </c>
      <c r="Y5" s="6">
        <v>1</v>
      </c>
      <c r="Z5" s="6">
        <v>1.3</v>
      </c>
      <c r="AA5" s="6">
        <v>1.3</v>
      </c>
      <c r="AB5" s="6">
        <v>1.3</v>
      </c>
      <c r="AC5" s="6">
        <v>1</v>
      </c>
      <c r="AD5" s="6">
        <v>1.3</v>
      </c>
      <c r="AE5" s="25">
        <v>1</v>
      </c>
      <c r="AF5" s="25">
        <v>1.3</v>
      </c>
      <c r="AG5" s="25">
        <v>1.3</v>
      </c>
      <c r="AH5" s="25">
        <v>1.3</v>
      </c>
      <c r="AI5" s="25">
        <v>1.3</v>
      </c>
      <c r="AJ5" s="25">
        <v>1.3</v>
      </c>
      <c r="AK5" s="25">
        <v>1.3</v>
      </c>
      <c r="AL5" s="25">
        <v>1</v>
      </c>
      <c r="AM5" s="25">
        <v>1.3</v>
      </c>
      <c r="AN5" s="25">
        <v>1</v>
      </c>
      <c r="AO5" s="26">
        <f>SUMPRODUCT($F$2:$AN$2,Table4623[[#This Row],[1]:[35]])</f>
        <v>185.03954572259531</v>
      </c>
    </row>
    <row r="6" spans="1:41" x14ac:dyDescent="0.25">
      <c r="A6" s="27">
        <v>2</v>
      </c>
      <c r="B6" s="28" t="s">
        <v>244</v>
      </c>
      <c r="C6" s="28" t="s">
        <v>245</v>
      </c>
      <c r="D6" s="28" t="s">
        <v>100</v>
      </c>
      <c r="E6" s="28" t="s">
        <v>125</v>
      </c>
      <c r="F6" s="28"/>
      <c r="G6" s="28"/>
      <c r="H6" s="28"/>
      <c r="I6" s="28"/>
      <c r="J6" s="28"/>
      <c r="K6" s="28"/>
      <c r="L6" s="28"/>
      <c r="M6" s="28"/>
      <c r="N6" s="28">
        <v>1.3</v>
      </c>
      <c r="O6" s="28">
        <v>1.3</v>
      </c>
      <c r="P6" s="28"/>
      <c r="Q6" s="28"/>
      <c r="R6" s="28"/>
      <c r="S6" s="28">
        <v>1.3</v>
      </c>
      <c r="T6" s="28"/>
      <c r="U6" s="28">
        <v>1.3</v>
      </c>
      <c r="V6" s="28">
        <v>1</v>
      </c>
      <c r="W6" s="28">
        <v>1.3</v>
      </c>
      <c r="X6" s="28"/>
      <c r="Y6" s="28">
        <v>1</v>
      </c>
      <c r="Z6" s="28">
        <v>1.3</v>
      </c>
      <c r="AA6" s="28"/>
      <c r="AB6" s="28">
        <v>1.3</v>
      </c>
      <c r="AC6" s="28">
        <v>1</v>
      </c>
      <c r="AD6" s="28">
        <v>1</v>
      </c>
      <c r="AE6" s="29">
        <v>1.3</v>
      </c>
      <c r="AF6" s="29">
        <v>1.3</v>
      </c>
      <c r="AG6" s="29">
        <v>1.3</v>
      </c>
      <c r="AH6" s="29">
        <v>1</v>
      </c>
      <c r="AI6" s="29">
        <v>1.3</v>
      </c>
      <c r="AJ6" s="29">
        <v>1.3</v>
      </c>
      <c r="AK6" s="29">
        <v>1.3</v>
      </c>
      <c r="AL6" s="29">
        <v>1.3</v>
      </c>
      <c r="AM6" s="29"/>
      <c r="AN6" s="29">
        <v>1.3</v>
      </c>
      <c r="AO6" s="30">
        <f>SUMPRODUCT($F$2:$AN$2,Table4623[[#This Row],[1]:[35]])</f>
        <v>156.61482583464007</v>
      </c>
    </row>
    <row r="7" spans="1:41" x14ac:dyDescent="0.25">
      <c r="A7" s="24">
        <v>3</v>
      </c>
      <c r="B7" s="28" t="s">
        <v>89</v>
      </c>
      <c r="C7" s="28" t="s">
        <v>90</v>
      </c>
      <c r="D7" s="28" t="s">
        <v>91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>
        <v>1</v>
      </c>
      <c r="S7" s="28">
        <v>1.3</v>
      </c>
      <c r="T7" s="28">
        <v>1</v>
      </c>
      <c r="U7" s="28">
        <v>1.3</v>
      </c>
      <c r="V7" s="28">
        <v>1</v>
      </c>
      <c r="W7" s="28">
        <v>1.3</v>
      </c>
      <c r="X7" s="28">
        <v>1</v>
      </c>
      <c r="Y7" s="28">
        <v>1</v>
      </c>
      <c r="Z7" s="28"/>
      <c r="AA7" s="28">
        <v>1.3</v>
      </c>
      <c r="AB7" s="28">
        <v>1</v>
      </c>
      <c r="AC7" s="28">
        <v>1</v>
      </c>
      <c r="AD7" s="28">
        <v>1</v>
      </c>
      <c r="AE7" s="29">
        <v>1</v>
      </c>
      <c r="AF7" s="29">
        <v>1.3</v>
      </c>
      <c r="AG7" s="29">
        <v>1.3</v>
      </c>
      <c r="AH7" s="29">
        <v>1.3</v>
      </c>
      <c r="AI7" s="29">
        <v>1.3</v>
      </c>
      <c r="AJ7" s="29">
        <v>1.3</v>
      </c>
      <c r="AK7" s="29">
        <v>1.3</v>
      </c>
      <c r="AL7" s="29">
        <v>1</v>
      </c>
      <c r="AM7" s="29"/>
      <c r="AN7" s="29">
        <v>1</v>
      </c>
      <c r="AO7" s="30">
        <f>SUMPRODUCT($F$2:$AN$2,Table4623[[#This Row],[1]:[35]])</f>
        <v>134.54348940533151</v>
      </c>
    </row>
    <row r="8" spans="1:41" x14ac:dyDescent="0.25">
      <c r="A8" s="27">
        <v>4</v>
      </c>
      <c r="B8" s="28" t="s">
        <v>76</v>
      </c>
      <c r="C8" s="28" t="s">
        <v>77</v>
      </c>
      <c r="D8" s="28" t="s">
        <v>80</v>
      </c>
      <c r="E8" s="28" t="s">
        <v>82</v>
      </c>
      <c r="F8" s="28"/>
      <c r="G8" s="28"/>
      <c r="H8" s="28"/>
      <c r="I8" s="28"/>
      <c r="J8" s="28"/>
      <c r="K8" s="28"/>
      <c r="L8" s="28"/>
      <c r="M8" s="28"/>
      <c r="N8" s="28">
        <v>1</v>
      </c>
      <c r="O8" s="28"/>
      <c r="P8" s="28"/>
      <c r="Q8" s="28"/>
      <c r="R8" s="28"/>
      <c r="S8" s="28">
        <v>1.3</v>
      </c>
      <c r="T8" s="28"/>
      <c r="U8" s="28">
        <v>1.3</v>
      </c>
      <c r="V8" s="28">
        <v>1</v>
      </c>
      <c r="W8" s="28">
        <v>1.3</v>
      </c>
      <c r="X8" s="28">
        <v>1</v>
      </c>
      <c r="Y8" s="28">
        <v>1.3</v>
      </c>
      <c r="Z8" s="28">
        <v>1</v>
      </c>
      <c r="AA8" s="28">
        <v>1</v>
      </c>
      <c r="AB8" s="28">
        <v>1.3</v>
      </c>
      <c r="AC8" s="28">
        <v>1</v>
      </c>
      <c r="AD8" s="28">
        <v>1.3</v>
      </c>
      <c r="AE8" s="29">
        <v>1.3</v>
      </c>
      <c r="AF8" s="29">
        <v>1.3</v>
      </c>
      <c r="AG8" s="29">
        <v>1.3</v>
      </c>
      <c r="AH8" s="29">
        <v>1.3</v>
      </c>
      <c r="AI8" s="29">
        <v>1.3</v>
      </c>
      <c r="AJ8" s="29">
        <v>1.3</v>
      </c>
      <c r="AK8" s="29">
        <v>1.3</v>
      </c>
      <c r="AL8" s="29">
        <v>1</v>
      </c>
      <c r="AM8" s="29">
        <v>1.3</v>
      </c>
      <c r="AN8" s="29">
        <v>1.3</v>
      </c>
      <c r="AO8" s="30">
        <f>SUMPRODUCT($F$2:$AN$2,Table4623[[#This Row],[1]:[35]])</f>
        <v>113.38933563856165</v>
      </c>
    </row>
    <row r="9" spans="1:41" x14ac:dyDescent="0.25">
      <c r="A9" s="24">
        <v>5</v>
      </c>
      <c r="B9" s="28" t="s">
        <v>156</v>
      </c>
      <c r="C9" s="28" t="s">
        <v>157</v>
      </c>
      <c r="D9" s="28" t="s">
        <v>80</v>
      </c>
      <c r="E9" s="28" t="s">
        <v>158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>
        <v>1.3</v>
      </c>
      <c r="T9" s="28"/>
      <c r="U9" s="28">
        <v>1.3</v>
      </c>
      <c r="V9" s="28">
        <v>1</v>
      </c>
      <c r="W9" s="28">
        <v>1.3</v>
      </c>
      <c r="X9" s="28">
        <v>1.3</v>
      </c>
      <c r="Y9" s="28">
        <v>1</v>
      </c>
      <c r="Z9" s="28">
        <v>1.3</v>
      </c>
      <c r="AA9" s="28">
        <v>1</v>
      </c>
      <c r="AB9" s="28">
        <v>1.3</v>
      </c>
      <c r="AC9" s="28">
        <v>1</v>
      </c>
      <c r="AD9" s="28">
        <v>1</v>
      </c>
      <c r="AE9" s="29">
        <v>1</v>
      </c>
      <c r="AF9" s="29">
        <v>1.3</v>
      </c>
      <c r="AG9" s="29">
        <v>1.3</v>
      </c>
      <c r="AH9" s="29">
        <v>1.3</v>
      </c>
      <c r="AI9" s="29">
        <v>1.3</v>
      </c>
      <c r="AJ9" s="29">
        <v>1.3</v>
      </c>
      <c r="AK9" s="29">
        <v>1.3</v>
      </c>
      <c r="AL9" s="29">
        <v>1.3</v>
      </c>
      <c r="AM9" s="29">
        <v>1.3</v>
      </c>
      <c r="AN9" s="29">
        <v>1.3</v>
      </c>
      <c r="AO9" s="30">
        <f>SUMPRODUCT($F$2:$AN$2,Table4623[[#This Row],[1]:[35]])</f>
        <v>108.60502191307145</v>
      </c>
    </row>
    <row r="10" spans="1:41" x14ac:dyDescent="0.25">
      <c r="A10" s="27">
        <v>6</v>
      </c>
      <c r="B10" s="28" t="s">
        <v>113</v>
      </c>
      <c r="C10" s="28" t="s">
        <v>114</v>
      </c>
      <c r="D10" s="28" t="s">
        <v>100</v>
      </c>
      <c r="E10" s="28" t="s">
        <v>115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>
        <v>1.3</v>
      </c>
      <c r="T10" s="28"/>
      <c r="U10" s="28">
        <v>1.3</v>
      </c>
      <c r="V10" s="28">
        <v>1</v>
      </c>
      <c r="W10" s="28">
        <v>1.3</v>
      </c>
      <c r="X10" s="28">
        <v>1</v>
      </c>
      <c r="Y10" s="28">
        <v>1</v>
      </c>
      <c r="Z10" s="28">
        <v>1.3</v>
      </c>
      <c r="AA10" s="28">
        <v>1</v>
      </c>
      <c r="AB10" s="28">
        <v>1.3</v>
      </c>
      <c r="AC10" s="28">
        <v>1</v>
      </c>
      <c r="AD10" s="28">
        <v>1</v>
      </c>
      <c r="AE10" s="29">
        <v>1</v>
      </c>
      <c r="AF10" s="29">
        <v>1.3</v>
      </c>
      <c r="AG10" s="29">
        <v>1.3</v>
      </c>
      <c r="AH10" s="29">
        <v>1</v>
      </c>
      <c r="AI10" s="29">
        <v>1</v>
      </c>
      <c r="AJ10" s="29">
        <v>1.3</v>
      </c>
      <c r="AK10" s="29">
        <v>1.3</v>
      </c>
      <c r="AL10" s="29">
        <v>1.3</v>
      </c>
      <c r="AM10" s="29">
        <v>1.3</v>
      </c>
      <c r="AN10" s="29">
        <v>1.3</v>
      </c>
      <c r="AO10" s="30">
        <f>SUMPRODUCT($F$2:$AN$2,Table4623[[#This Row],[1]:[35]])</f>
        <v>102.86692667497621</v>
      </c>
    </row>
    <row r="11" spans="1:41" x14ac:dyDescent="0.25">
      <c r="A11" s="24">
        <v>7</v>
      </c>
      <c r="B11" s="28" t="s">
        <v>197</v>
      </c>
      <c r="C11" s="28" t="s">
        <v>227</v>
      </c>
      <c r="D11" s="28" t="s">
        <v>80</v>
      </c>
      <c r="E11" s="28" t="s">
        <v>229</v>
      </c>
      <c r="F11" s="28"/>
      <c r="G11" s="28"/>
      <c r="H11" s="28"/>
      <c r="I11" s="28"/>
      <c r="J11" s="28"/>
      <c r="K11" s="28"/>
      <c r="L11" s="28">
        <v>1</v>
      </c>
      <c r="M11" s="28"/>
      <c r="N11" s="28">
        <v>1</v>
      </c>
      <c r="O11" s="28"/>
      <c r="P11" s="28"/>
      <c r="Q11" s="28"/>
      <c r="R11" s="28"/>
      <c r="S11" s="28">
        <v>1.3</v>
      </c>
      <c r="T11" s="28"/>
      <c r="U11" s="28">
        <v>1</v>
      </c>
      <c r="V11" s="28"/>
      <c r="W11" s="28">
        <v>1.3</v>
      </c>
      <c r="X11" s="28"/>
      <c r="Y11" s="28">
        <v>1.3</v>
      </c>
      <c r="Z11" s="28">
        <v>1</v>
      </c>
      <c r="AA11" s="28"/>
      <c r="AB11" s="28">
        <v>1.3</v>
      </c>
      <c r="AC11" s="28">
        <v>1</v>
      </c>
      <c r="AD11" s="28">
        <v>1</v>
      </c>
      <c r="AE11" s="29">
        <v>1</v>
      </c>
      <c r="AF11" s="29">
        <v>1.3</v>
      </c>
      <c r="AG11" s="29">
        <v>1</v>
      </c>
      <c r="AH11" s="29"/>
      <c r="AI11" s="29">
        <v>1.3</v>
      </c>
      <c r="AJ11" s="29">
        <v>1.3</v>
      </c>
      <c r="AK11" s="29">
        <v>1.3</v>
      </c>
      <c r="AL11" s="29">
        <v>1</v>
      </c>
      <c r="AM11" s="29">
        <v>1.3</v>
      </c>
      <c r="AN11" s="29"/>
      <c r="AO11" s="30">
        <f>SUMPRODUCT($F$2:$AN$2,Table4623[[#This Row],[1]:[35]])</f>
        <v>97.077286576512577</v>
      </c>
    </row>
    <row r="12" spans="1:41" x14ac:dyDescent="0.25">
      <c r="A12" s="27">
        <v>8</v>
      </c>
      <c r="B12" s="28" t="s">
        <v>195</v>
      </c>
      <c r="C12" s="28" t="s">
        <v>196</v>
      </c>
      <c r="D12" s="28" t="s">
        <v>91</v>
      </c>
      <c r="E12" s="28" t="s">
        <v>194</v>
      </c>
      <c r="F12" s="28"/>
      <c r="G12" s="28"/>
      <c r="H12" s="28"/>
      <c r="I12" s="28"/>
      <c r="J12" s="28"/>
      <c r="K12" s="28"/>
      <c r="L12" s="28"/>
      <c r="M12" s="28"/>
      <c r="N12" s="28">
        <v>1</v>
      </c>
      <c r="O12" s="28"/>
      <c r="P12" s="28"/>
      <c r="Q12" s="28"/>
      <c r="R12" s="28"/>
      <c r="S12" s="28">
        <v>1</v>
      </c>
      <c r="T12" s="28"/>
      <c r="U12" s="28">
        <v>1.3</v>
      </c>
      <c r="V12" s="28">
        <v>1</v>
      </c>
      <c r="W12" s="28">
        <v>1</v>
      </c>
      <c r="X12" s="28"/>
      <c r="Y12" s="28">
        <v>1</v>
      </c>
      <c r="Z12" s="28">
        <v>1</v>
      </c>
      <c r="AA12" s="28">
        <v>1</v>
      </c>
      <c r="AB12" s="28">
        <v>1.3</v>
      </c>
      <c r="AC12" s="28">
        <v>1</v>
      </c>
      <c r="AD12" s="28">
        <v>1</v>
      </c>
      <c r="AE12" s="29"/>
      <c r="AF12" s="29">
        <v>1.3</v>
      </c>
      <c r="AG12" s="29">
        <v>1</v>
      </c>
      <c r="AH12" s="29"/>
      <c r="AI12" s="29"/>
      <c r="AJ12" s="29">
        <v>1.3</v>
      </c>
      <c r="AK12" s="29">
        <v>1.3</v>
      </c>
      <c r="AL12" s="29">
        <v>1</v>
      </c>
      <c r="AM12" s="29">
        <v>1.3</v>
      </c>
      <c r="AN12" s="29">
        <v>1</v>
      </c>
      <c r="AO12" s="30">
        <f>SUMPRODUCT($F$2:$AN$2,Table4623[[#This Row],[1]:[35]])</f>
        <v>77.506773755999774</v>
      </c>
    </row>
    <row r="13" spans="1:41" x14ac:dyDescent="0.25">
      <c r="A13" s="24">
        <v>9</v>
      </c>
      <c r="B13" s="28" t="s">
        <v>379</v>
      </c>
      <c r="C13" s="28" t="s">
        <v>380</v>
      </c>
      <c r="D13" s="28" t="s">
        <v>100</v>
      </c>
      <c r="E13" s="28" t="s">
        <v>125</v>
      </c>
      <c r="F13" s="28"/>
      <c r="G13" s="28"/>
      <c r="H13" s="28"/>
      <c r="I13" s="28"/>
      <c r="J13" s="28"/>
      <c r="K13" s="28"/>
      <c r="L13" s="28"/>
      <c r="M13" s="28"/>
      <c r="N13" s="28">
        <v>1</v>
      </c>
      <c r="O13" s="28"/>
      <c r="P13" s="28"/>
      <c r="Q13" s="28"/>
      <c r="R13" s="28">
        <v>1</v>
      </c>
      <c r="S13" s="28">
        <v>1.3</v>
      </c>
      <c r="T13" s="28"/>
      <c r="U13" s="28">
        <v>1.3</v>
      </c>
      <c r="V13" s="28"/>
      <c r="W13" s="28"/>
      <c r="X13" s="28"/>
      <c r="Y13" s="28">
        <v>1</v>
      </c>
      <c r="Z13" s="28">
        <v>1</v>
      </c>
      <c r="AA13" s="28"/>
      <c r="AB13" s="28">
        <v>1</v>
      </c>
      <c r="AC13" s="28">
        <v>1</v>
      </c>
      <c r="AD13" s="28"/>
      <c r="AE13" s="29">
        <v>1</v>
      </c>
      <c r="AF13" s="29">
        <v>1</v>
      </c>
      <c r="AG13" s="29">
        <v>1.3</v>
      </c>
      <c r="AH13" s="29">
        <v>1</v>
      </c>
      <c r="AI13" s="29">
        <v>1.3</v>
      </c>
      <c r="AJ13" s="29">
        <v>1.3</v>
      </c>
      <c r="AK13" s="29">
        <v>1.3</v>
      </c>
      <c r="AL13" s="29">
        <v>1.3</v>
      </c>
      <c r="AM13" s="29">
        <v>1.3</v>
      </c>
      <c r="AN13" s="29"/>
      <c r="AO13" s="30">
        <f>SUMPRODUCT($F$2:$AN$2,Table4623[[#This Row],[1]:[35]])</f>
        <v>77.389753349505696</v>
      </c>
    </row>
    <row r="14" spans="1:41" x14ac:dyDescent="0.25">
      <c r="A14" s="27">
        <v>10</v>
      </c>
      <c r="B14" s="28" t="s">
        <v>167</v>
      </c>
      <c r="C14" s="28" t="s">
        <v>168</v>
      </c>
      <c r="D14" s="28" t="s">
        <v>80</v>
      </c>
      <c r="E14" s="28" t="s">
        <v>82</v>
      </c>
      <c r="F14" s="28"/>
      <c r="G14" s="28"/>
      <c r="H14" s="28"/>
      <c r="I14" s="28"/>
      <c r="J14" s="28"/>
      <c r="K14" s="28"/>
      <c r="L14" s="28"/>
      <c r="M14" s="28"/>
      <c r="N14" s="28">
        <v>1</v>
      </c>
      <c r="O14" s="28"/>
      <c r="P14" s="28"/>
      <c r="Q14" s="28"/>
      <c r="R14" s="28"/>
      <c r="S14" s="28">
        <v>1.3</v>
      </c>
      <c r="T14" s="28"/>
      <c r="U14" s="28">
        <v>1</v>
      </c>
      <c r="V14" s="28"/>
      <c r="W14" s="28">
        <v>1</v>
      </c>
      <c r="X14" s="28"/>
      <c r="Y14" s="28">
        <v>1</v>
      </c>
      <c r="Z14" s="28"/>
      <c r="AA14" s="28"/>
      <c r="AB14" s="28">
        <v>1.3</v>
      </c>
      <c r="AC14" s="28">
        <v>1.3</v>
      </c>
      <c r="AD14" s="28">
        <v>1.3</v>
      </c>
      <c r="AE14" s="29">
        <v>1</v>
      </c>
      <c r="AF14" s="29">
        <v>1.3</v>
      </c>
      <c r="AG14" s="29">
        <v>1</v>
      </c>
      <c r="AH14" s="29">
        <v>1</v>
      </c>
      <c r="AI14" s="29">
        <v>1.3</v>
      </c>
      <c r="AJ14" s="29">
        <v>1.3</v>
      </c>
      <c r="AK14" s="29">
        <v>1.3</v>
      </c>
      <c r="AL14" s="29">
        <v>1.3</v>
      </c>
      <c r="AM14" s="29">
        <v>1</v>
      </c>
      <c r="AN14" s="29"/>
      <c r="AO14" s="30">
        <f>SUMPRODUCT($F$2:$AN$2,Table4623[[#This Row],[1]:[35]])</f>
        <v>74.059312720303424</v>
      </c>
    </row>
    <row r="15" spans="1:41" x14ac:dyDescent="0.25">
      <c r="A15" s="24">
        <v>11</v>
      </c>
      <c r="B15" s="28" t="s">
        <v>149</v>
      </c>
      <c r="C15" s="28" t="s">
        <v>150</v>
      </c>
      <c r="D15" s="28" t="s">
        <v>100</v>
      </c>
      <c r="E15" s="28" t="s">
        <v>151</v>
      </c>
      <c r="F15" s="28"/>
      <c r="G15" s="28"/>
      <c r="H15" s="28"/>
      <c r="I15" s="28"/>
      <c r="J15" s="28"/>
      <c r="K15" s="28"/>
      <c r="L15" s="28"/>
      <c r="M15" s="28"/>
      <c r="N15" s="28">
        <v>1</v>
      </c>
      <c r="O15" s="28"/>
      <c r="P15" s="28"/>
      <c r="Q15" s="28"/>
      <c r="R15" s="28"/>
      <c r="S15" s="28">
        <v>1.3</v>
      </c>
      <c r="T15" s="28"/>
      <c r="U15" s="28">
        <v>1.3</v>
      </c>
      <c r="V15" s="28"/>
      <c r="W15" s="28"/>
      <c r="X15" s="28"/>
      <c r="Y15" s="28"/>
      <c r="Z15" s="28">
        <v>1.3</v>
      </c>
      <c r="AA15" s="28">
        <v>1</v>
      </c>
      <c r="AB15" s="28">
        <v>1.3</v>
      </c>
      <c r="AC15" s="28">
        <v>1.3</v>
      </c>
      <c r="AD15" s="28"/>
      <c r="AE15" s="29"/>
      <c r="AF15" s="29">
        <v>1.3</v>
      </c>
      <c r="AG15" s="29">
        <v>1.3</v>
      </c>
      <c r="AH15" s="29"/>
      <c r="AI15" s="29">
        <v>1</v>
      </c>
      <c r="AJ15" s="29">
        <v>1.3</v>
      </c>
      <c r="AK15" s="29">
        <v>1.3</v>
      </c>
      <c r="AL15" s="29">
        <v>1.3</v>
      </c>
      <c r="AM15" s="29">
        <v>1.3</v>
      </c>
      <c r="AN15" s="29">
        <v>1</v>
      </c>
      <c r="AO15" s="30">
        <f>SUMPRODUCT($F$2:$AN$2,Table4623[[#This Row],[1]:[35]])</f>
        <v>62.97406953211906</v>
      </c>
    </row>
    <row r="16" spans="1:41" x14ac:dyDescent="0.25">
      <c r="A16" s="27">
        <v>12</v>
      </c>
      <c r="B16" s="28" t="s">
        <v>264</v>
      </c>
      <c r="C16" s="28" t="s">
        <v>265</v>
      </c>
      <c r="D16" s="28" t="s">
        <v>100</v>
      </c>
      <c r="E16" s="28" t="s">
        <v>186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>
        <v>1.3</v>
      </c>
      <c r="T16" s="28"/>
      <c r="U16" s="28">
        <v>1.3</v>
      </c>
      <c r="V16" s="28"/>
      <c r="W16" s="28"/>
      <c r="X16" s="28"/>
      <c r="Y16" s="28"/>
      <c r="Z16" s="28">
        <v>1.3</v>
      </c>
      <c r="AA16" s="28">
        <v>1.3</v>
      </c>
      <c r="AB16" s="28">
        <v>1</v>
      </c>
      <c r="AC16" s="28">
        <v>1.3</v>
      </c>
      <c r="AD16" s="28"/>
      <c r="AE16" s="29">
        <v>1</v>
      </c>
      <c r="AF16" s="29">
        <v>1.3</v>
      </c>
      <c r="AG16" s="29"/>
      <c r="AH16" s="29"/>
      <c r="AI16" s="29">
        <v>1</v>
      </c>
      <c r="AJ16" s="29">
        <v>1</v>
      </c>
      <c r="AK16" s="29">
        <v>1.3</v>
      </c>
      <c r="AL16" s="29">
        <v>1</v>
      </c>
      <c r="AM16" s="29">
        <v>1</v>
      </c>
      <c r="AN16" s="29"/>
      <c r="AO16" s="30">
        <f>SUMPRODUCT($F$2:$AN$2,Table4623[[#This Row],[1]:[35]])</f>
        <v>50.768151997641155</v>
      </c>
    </row>
    <row r="17" spans="1:41" x14ac:dyDescent="0.25">
      <c r="A17" s="24">
        <v>13</v>
      </c>
      <c r="B17" s="28" t="s">
        <v>197</v>
      </c>
      <c r="C17" s="28" t="s">
        <v>198</v>
      </c>
      <c r="D17" s="28" t="s">
        <v>91</v>
      </c>
      <c r="E17" s="28"/>
      <c r="F17" s="28"/>
      <c r="G17" s="28"/>
      <c r="H17" s="28"/>
      <c r="I17" s="28"/>
      <c r="J17" s="28"/>
      <c r="K17" s="28"/>
      <c r="L17" s="28"/>
      <c r="M17" s="28"/>
      <c r="N17" s="28">
        <v>1.3</v>
      </c>
      <c r="O17" s="28"/>
      <c r="P17" s="28"/>
      <c r="Q17" s="28"/>
      <c r="R17" s="28">
        <v>1</v>
      </c>
      <c r="S17" s="28">
        <v>1</v>
      </c>
      <c r="T17" s="28"/>
      <c r="U17" s="28">
        <v>1.3</v>
      </c>
      <c r="V17" s="28"/>
      <c r="W17" s="28"/>
      <c r="X17" s="28"/>
      <c r="Y17" s="28"/>
      <c r="Z17" s="28">
        <v>1</v>
      </c>
      <c r="AA17" s="28"/>
      <c r="AB17" s="28"/>
      <c r="AC17" s="28"/>
      <c r="AD17" s="28"/>
      <c r="AE17" s="29"/>
      <c r="AF17" s="29">
        <v>1.3</v>
      </c>
      <c r="AG17" s="29"/>
      <c r="AH17" s="29"/>
      <c r="AI17" s="29"/>
      <c r="AJ17" s="29">
        <v>1.3</v>
      </c>
      <c r="AK17" s="29">
        <v>1.3</v>
      </c>
      <c r="AL17" s="29">
        <v>1.3</v>
      </c>
      <c r="AM17" s="29"/>
      <c r="AN17" s="29">
        <v>1</v>
      </c>
      <c r="AO17" s="30">
        <f>SUMPRODUCT($F$2:$AN$2,Table4623[[#This Row],[1]:[35]])</f>
        <v>47.629435579899976</v>
      </c>
    </row>
    <row r="18" spans="1:41" x14ac:dyDescent="0.25">
      <c r="A18" s="27">
        <v>14</v>
      </c>
      <c r="B18" s="28" t="s">
        <v>386</v>
      </c>
      <c r="C18" s="28" t="s">
        <v>387</v>
      </c>
      <c r="D18" s="28" t="s">
        <v>100</v>
      </c>
      <c r="E18" s="28" t="s">
        <v>388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>
        <v>1.3</v>
      </c>
      <c r="V18" s="28"/>
      <c r="W18" s="28"/>
      <c r="X18" s="28"/>
      <c r="Y18" s="28"/>
      <c r="Z18" s="28">
        <v>1.3</v>
      </c>
      <c r="AA18" s="28"/>
      <c r="AB18" s="28">
        <v>1.3</v>
      </c>
      <c r="AC18" s="28">
        <v>1</v>
      </c>
      <c r="AD18" s="28"/>
      <c r="AE18" s="29">
        <v>1</v>
      </c>
      <c r="AF18" s="29"/>
      <c r="AG18" s="29"/>
      <c r="AH18" s="29">
        <v>1</v>
      </c>
      <c r="AI18" s="29">
        <v>1.3</v>
      </c>
      <c r="AJ18" s="29">
        <v>1.3</v>
      </c>
      <c r="AK18" s="29">
        <v>1.3</v>
      </c>
      <c r="AL18" s="29">
        <v>1.3</v>
      </c>
      <c r="AM18" s="29">
        <v>1</v>
      </c>
      <c r="AN18" s="29">
        <v>1.3</v>
      </c>
      <c r="AO18" s="30">
        <f>SUMPRODUCT($F$2:$AN$2,Table4623[[#This Row],[1]:[35]])</f>
        <v>47.555223843923521</v>
      </c>
    </row>
    <row r="19" spans="1:41" x14ac:dyDescent="0.25">
      <c r="A19" s="24">
        <v>15</v>
      </c>
      <c r="B19" s="28" t="s">
        <v>236</v>
      </c>
      <c r="C19" s="28" t="s">
        <v>260</v>
      </c>
      <c r="D19" s="28" t="s">
        <v>224</v>
      </c>
      <c r="E19" s="28" t="s">
        <v>257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>
        <v>1</v>
      </c>
      <c r="V19" s="28"/>
      <c r="W19" s="28"/>
      <c r="X19" s="28"/>
      <c r="Y19" s="28"/>
      <c r="Z19" s="28">
        <v>1</v>
      </c>
      <c r="AA19" s="28"/>
      <c r="AB19" s="28">
        <v>1</v>
      </c>
      <c r="AC19" s="28"/>
      <c r="AD19" s="28"/>
      <c r="AE19" s="29">
        <v>1</v>
      </c>
      <c r="AF19" s="29">
        <v>1.3</v>
      </c>
      <c r="AG19" s="29"/>
      <c r="AH19" s="29"/>
      <c r="AI19" s="29">
        <v>1</v>
      </c>
      <c r="AJ19" s="29">
        <v>1.3</v>
      </c>
      <c r="AK19" s="29">
        <v>1.3</v>
      </c>
      <c r="AL19" s="29">
        <v>1</v>
      </c>
      <c r="AM19" s="29">
        <v>1</v>
      </c>
      <c r="AN19" s="29"/>
      <c r="AO19" s="30">
        <f>SUMPRODUCT($F$2:$AN$2,Table4623[[#This Row],[1]:[35]])</f>
        <v>32.177465723131363</v>
      </c>
    </row>
    <row r="20" spans="1:41" x14ac:dyDescent="0.25">
      <c r="A20" s="27">
        <v>16</v>
      </c>
      <c r="B20" s="28" t="s">
        <v>213</v>
      </c>
      <c r="C20" s="28" t="s">
        <v>214</v>
      </c>
      <c r="D20" s="28" t="s">
        <v>100</v>
      </c>
      <c r="E20" s="28" t="s">
        <v>125</v>
      </c>
      <c r="F20" s="28"/>
      <c r="G20" s="28"/>
      <c r="H20" s="28"/>
      <c r="I20" s="28"/>
      <c r="J20" s="28"/>
      <c r="K20" s="28"/>
      <c r="L20" s="28"/>
      <c r="M20" s="28"/>
      <c r="N20" s="28">
        <v>1</v>
      </c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>
        <v>1.3</v>
      </c>
      <c r="AC20" s="28">
        <v>1</v>
      </c>
      <c r="AD20" s="28"/>
      <c r="AE20" s="29"/>
      <c r="AF20" s="29">
        <v>1.3</v>
      </c>
      <c r="AG20" s="29"/>
      <c r="AH20" s="29"/>
      <c r="AI20" s="29">
        <v>1</v>
      </c>
      <c r="AJ20" s="29">
        <v>1.3</v>
      </c>
      <c r="AK20" s="29">
        <v>1.3</v>
      </c>
      <c r="AL20" s="29">
        <v>1</v>
      </c>
      <c r="AM20" s="29">
        <v>1</v>
      </c>
      <c r="AN20" s="29"/>
      <c r="AO20" s="30">
        <f>SUMPRODUCT($F$2:$AN$2,Table4623[[#This Row],[1]:[35]])</f>
        <v>30.859096270086987</v>
      </c>
    </row>
    <row r="21" spans="1:41" x14ac:dyDescent="0.25">
      <c r="A21" s="31">
        <v>17</v>
      </c>
      <c r="B21" s="11" t="s">
        <v>311</v>
      </c>
      <c r="C21" s="11" t="s">
        <v>312</v>
      </c>
      <c r="D21" s="11" t="s">
        <v>80</v>
      </c>
      <c r="E21" s="11" t="s">
        <v>263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>
        <v>1.3</v>
      </c>
      <c r="AA21" s="11"/>
      <c r="AB21" s="11">
        <v>1</v>
      </c>
      <c r="AC21" s="11">
        <v>1</v>
      </c>
      <c r="AD21" s="11"/>
      <c r="AE21" s="19"/>
      <c r="AF21" s="19">
        <v>1.3</v>
      </c>
      <c r="AG21" s="19"/>
      <c r="AH21" s="19"/>
      <c r="AI21" s="19"/>
      <c r="AJ21" s="19">
        <v>1.3</v>
      </c>
      <c r="AK21" s="19"/>
      <c r="AL21" s="19">
        <v>1</v>
      </c>
      <c r="AM21" s="19">
        <v>1</v>
      </c>
      <c r="AN21" s="19">
        <v>1</v>
      </c>
      <c r="AO21" s="12">
        <f>SUMPRODUCT($F$2:$AN$2,Table4623[[#This Row],[1]:[35]])</f>
        <v>26.067337461300312</v>
      </c>
    </row>
    <row r="22" spans="1:41" x14ac:dyDescent="0.25">
      <c r="A22" s="32">
        <v>18</v>
      </c>
      <c r="B22" s="11" t="s">
        <v>306</v>
      </c>
      <c r="C22" s="11" t="s">
        <v>278</v>
      </c>
      <c r="D22" s="11" t="s">
        <v>80</v>
      </c>
      <c r="E22" s="11" t="s">
        <v>263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>
        <v>1</v>
      </c>
      <c r="AA22" s="11"/>
      <c r="AB22" s="11">
        <v>1</v>
      </c>
      <c r="AC22" s="11"/>
      <c r="AD22" s="11"/>
      <c r="AE22" s="19"/>
      <c r="AF22" s="19">
        <v>1.3</v>
      </c>
      <c r="AG22" s="19"/>
      <c r="AH22" s="19"/>
      <c r="AI22" s="19"/>
      <c r="AJ22" s="19">
        <v>1.3</v>
      </c>
      <c r="AK22" s="19">
        <v>1.3</v>
      </c>
      <c r="AL22" s="19">
        <v>1.3</v>
      </c>
      <c r="AM22" s="19">
        <v>1</v>
      </c>
      <c r="AN22" s="19">
        <v>1</v>
      </c>
      <c r="AO22" s="12">
        <f>SUMPRODUCT($F$2:$AN$2,Table4623[[#This Row],[1]:[35]])</f>
        <v>26.022703818369457</v>
      </c>
    </row>
    <row r="23" spans="1:41" x14ac:dyDescent="0.25">
      <c r="A23" s="31">
        <v>19</v>
      </c>
      <c r="B23" s="11" t="s">
        <v>347</v>
      </c>
      <c r="C23" s="11" t="s">
        <v>348</v>
      </c>
      <c r="D23" s="11" t="s">
        <v>80</v>
      </c>
      <c r="E23" s="11" t="s">
        <v>263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>
        <v>1</v>
      </c>
      <c r="AA23" s="11"/>
      <c r="AB23" s="11">
        <v>1.3</v>
      </c>
      <c r="AC23" s="11"/>
      <c r="AD23" s="11"/>
      <c r="AE23" s="19"/>
      <c r="AF23" s="19">
        <v>1.3</v>
      </c>
      <c r="AG23" s="19"/>
      <c r="AH23" s="19"/>
      <c r="AI23" s="19"/>
      <c r="AJ23" s="19">
        <v>1.3</v>
      </c>
      <c r="AK23" s="19">
        <v>1.3</v>
      </c>
      <c r="AL23" s="19">
        <v>1</v>
      </c>
      <c r="AM23" s="19">
        <v>1.3</v>
      </c>
      <c r="AN23" s="19"/>
      <c r="AO23" s="12">
        <f>SUMPRODUCT($F$2:$AN$2,Table4623[[#This Row],[1]:[35]])</f>
        <v>22.777863777089784</v>
      </c>
    </row>
    <row r="24" spans="1:41" x14ac:dyDescent="0.25">
      <c r="A24" s="32">
        <v>20</v>
      </c>
      <c r="B24" s="5" t="s">
        <v>307</v>
      </c>
      <c r="C24" s="5" t="s">
        <v>308</v>
      </c>
      <c r="D24" s="5" t="s">
        <v>80</v>
      </c>
      <c r="E24" s="5" t="s">
        <v>263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1"/>
      <c r="R24" s="11"/>
      <c r="S24" s="11"/>
      <c r="T24" s="11"/>
      <c r="U24" s="11"/>
      <c r="V24" s="11"/>
      <c r="W24" s="11"/>
      <c r="X24" s="11"/>
      <c r="Y24" s="11"/>
      <c r="Z24" s="11">
        <v>1</v>
      </c>
      <c r="AA24" s="11"/>
      <c r="AB24" s="11">
        <v>1.3</v>
      </c>
      <c r="AC24" s="11"/>
      <c r="AD24" s="11"/>
      <c r="AE24" s="19"/>
      <c r="AF24" s="19">
        <v>1</v>
      </c>
      <c r="AG24" s="19"/>
      <c r="AH24" s="19"/>
      <c r="AI24" s="19"/>
      <c r="AJ24" s="19">
        <v>1</v>
      </c>
      <c r="AK24" s="19">
        <v>1.3</v>
      </c>
      <c r="AL24" s="19">
        <v>1</v>
      </c>
      <c r="AM24" s="19">
        <v>1</v>
      </c>
      <c r="AN24" s="19"/>
      <c r="AO24" s="12">
        <f>SUMPRODUCT($F$2:$AN$2,Table4623[[#This Row],[1]:[35]])</f>
        <v>20.35603715170279</v>
      </c>
    </row>
  </sheetData>
  <mergeCells count="1">
    <mergeCell ref="A2:E2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"/>
  <sheetViews>
    <sheetView tabSelected="1" topLeftCell="A4" workbookViewId="0">
      <selection activeCell="M28" sqref="M28"/>
    </sheetView>
  </sheetViews>
  <sheetFormatPr defaultRowHeight="15" outlineLevelRow="1" outlineLevelCol="1" x14ac:dyDescent="0.25"/>
  <cols>
    <col min="1" max="1" width="7.85546875" customWidth="1"/>
    <col min="2" max="2" width="10.140625" bestFit="1" customWidth="1"/>
    <col min="3" max="3" width="11.140625" bestFit="1" customWidth="1"/>
    <col min="4" max="4" width="9.140625" bestFit="1" customWidth="1"/>
    <col min="5" max="5" width="20.42578125" bestFit="1" customWidth="1"/>
    <col min="6" max="14" width="4.140625" customWidth="1" outlineLevel="1"/>
    <col min="15" max="55" width="5.140625" customWidth="1" outlineLevel="1"/>
    <col min="56" max="56" width="9.140625" customWidth="1"/>
  </cols>
  <sheetData>
    <row r="1" spans="1:56" hidden="1" outlineLevel="1" x14ac:dyDescent="0.25">
      <c r="A1" t="s">
        <v>7</v>
      </c>
      <c r="B1">
        <v>50</v>
      </c>
    </row>
    <row r="2" spans="1:56" hidden="1" outlineLevel="1" x14ac:dyDescent="0.25">
      <c r="A2" s="35" t="s">
        <v>36</v>
      </c>
      <c r="B2" s="35"/>
      <c r="C2" s="35"/>
      <c r="D2" s="35"/>
      <c r="E2" s="35"/>
      <c r="F2">
        <f>IFERROR($B$1/COUNT(Table46235[1]),0)</f>
        <v>0</v>
      </c>
      <c r="G2">
        <f>IFERROR($B$1/COUNT(Table46235[2]),0)</f>
        <v>0</v>
      </c>
      <c r="H2">
        <f>IFERROR($B$1/COUNT(Table46235[3]),0)</f>
        <v>0</v>
      </c>
      <c r="I2">
        <f>IFERROR($B$1/COUNT(Table46235[4]),0)</f>
        <v>0</v>
      </c>
      <c r="J2">
        <f>IFERROR($B$1/COUNT(Table46235[5]),0)</f>
        <v>0</v>
      </c>
      <c r="K2">
        <f>IFERROR($B$1/COUNT(Table46235[6]),0)</f>
        <v>0</v>
      </c>
      <c r="L2">
        <f>IFERROR($B$1/COUNT(Table46235[7]),0)</f>
        <v>0</v>
      </c>
      <c r="M2">
        <f>IFERROR($B$1/COUNT(Table46235[8]),0)</f>
        <v>0</v>
      </c>
      <c r="N2">
        <f>IFERROR($B$1/COUNT(Table46235[9]),0)</f>
        <v>50</v>
      </c>
      <c r="O2">
        <f>IFERROR($B$1/COUNT(Table46235[10]),0)</f>
        <v>0</v>
      </c>
      <c r="P2">
        <f>IFERROR($B$1/COUNT(Table46235[11]),0)</f>
        <v>0</v>
      </c>
      <c r="Q2">
        <f>IFERROR($B$1/COUNT(Table46235[12]),0)</f>
        <v>0</v>
      </c>
      <c r="R2">
        <f>IFERROR($B$1/COUNT(Table46235[13]),0)</f>
        <v>0</v>
      </c>
      <c r="S2">
        <f>IFERROR($B$1/COUNT(Table46235[14]),0)</f>
        <v>50</v>
      </c>
      <c r="T2">
        <f>IFERROR($B$1/COUNT(Table46235[15]),0)</f>
        <v>0</v>
      </c>
      <c r="U2">
        <f>IFERROR($B$1/COUNT(Table46235[16]),0)</f>
        <v>8.3333333333333339</v>
      </c>
      <c r="V2">
        <f>IFERROR($B$1/COUNT(Table46235[17]),0)</f>
        <v>0</v>
      </c>
      <c r="W2">
        <f>IFERROR($B$1/COUNT(Table46235[18]),0)</f>
        <v>0</v>
      </c>
      <c r="X2">
        <f>IFERROR($B$1/COUNT(Table46235[19]),0)</f>
        <v>0</v>
      </c>
      <c r="Y2">
        <f>IFERROR($B$1/COUNT(Table46235[20]),0)</f>
        <v>0</v>
      </c>
      <c r="Z2">
        <f>IFERROR($B$1/COUNT(Table46235[21]),0)</f>
        <v>5.5555555555555554</v>
      </c>
      <c r="AA2">
        <f>IFERROR($B$1/COUNT(Table46235[22]),0)</f>
        <v>0</v>
      </c>
      <c r="AB2">
        <f>IFERROR($B$1/COUNT(Table46235[23]),0)</f>
        <v>4.166666666666667</v>
      </c>
      <c r="AC2">
        <f>IFERROR($B$1/COUNT(Table46235[24]),0)</f>
        <v>12.5</v>
      </c>
      <c r="AD2">
        <f>IFERROR($B$1/COUNT(Table46235[25]),0)</f>
        <v>0</v>
      </c>
      <c r="AE2">
        <f>IFERROR($B$1/COUNT(Table46235[26]),0)</f>
        <v>0</v>
      </c>
      <c r="AF2">
        <f>IFERROR($B$1/COUNT(Table46235[27]),0)</f>
        <v>8.3333333333333339</v>
      </c>
      <c r="AG2">
        <f>IFERROR($B$1/COUNT(Table46235[28]),0)</f>
        <v>25</v>
      </c>
      <c r="AH2">
        <f>IFERROR($B$1/COUNT(Table46235[29]),0)</f>
        <v>50</v>
      </c>
      <c r="AI2">
        <f>IFERROR($B$1/COUNT(Table46235[30]),0)</f>
        <v>16.666666666666668</v>
      </c>
      <c r="AJ2">
        <f>IFERROR($B$1/COUNT(Table46235[31]),0)</f>
        <v>3.125</v>
      </c>
      <c r="AK2">
        <f>IFERROR($B$1/COUNT(Table46235[32]),0)</f>
        <v>2.6315789473684212</v>
      </c>
      <c r="AL2">
        <f>IFERROR($B$1/COUNT(Table46235[33]),0)</f>
        <v>4.5454545454545459</v>
      </c>
      <c r="AM2">
        <f>IFERROR($B$1/COUNT(Table46235[34]),0)</f>
        <v>16.666666666666668</v>
      </c>
      <c r="AN2">
        <f>IFERROR($B$1/COUNT(Table46235[35]),0)</f>
        <v>5.5555555555555554</v>
      </c>
      <c r="AO2">
        <f>IFERROR($B$1/COUNT(Table46235[36]),0)</f>
        <v>2.5</v>
      </c>
      <c r="AP2">
        <f>IFERROR($B$1/COUNT(Table46235[37]),0)</f>
        <v>2.9411764705882355</v>
      </c>
      <c r="AQ2">
        <f>IFERROR($B$1/COUNT(Table46235[38]),0)</f>
        <v>2.6315789473684212</v>
      </c>
      <c r="AR2">
        <f>IFERROR($B$1/COUNT(Table46235[39]),0)</f>
        <v>2.7777777777777777</v>
      </c>
      <c r="AS2">
        <f>IFERROR($B$1/COUNT(Table46235[40]),0)</f>
        <v>2.6315789473684212</v>
      </c>
      <c r="AT2">
        <f>IFERROR($B$1/COUNT(Table46235[41]),0)</f>
        <v>2.5</v>
      </c>
      <c r="AU2">
        <f>IFERROR($B$1/COUNT(Table46235[42]),0)</f>
        <v>2.7777777777777777</v>
      </c>
      <c r="AV2">
        <f>IFERROR($B$1/COUNT(Table46235[43]),0)</f>
        <v>2.7777777777777777</v>
      </c>
      <c r="AW2">
        <f>IFERROR($B$1/COUNT(Table46235[44]),0)</f>
        <v>2.7777777777777777</v>
      </c>
      <c r="AX2">
        <f>IFERROR($B$1/COUNT(Table46235[45]),0)</f>
        <v>2.7777777777777777</v>
      </c>
      <c r="AY2">
        <f>IFERROR($B$1/COUNT(Table46235[46]),0)</f>
        <v>2.7777777777777777</v>
      </c>
      <c r="AZ2">
        <f>IFERROR($B$1/COUNT(Table46235[47]),0)</f>
        <v>2.6315789473684212</v>
      </c>
      <c r="BA2">
        <f>IFERROR($B$1/COUNT(Table46235[48]),0)</f>
        <v>3.125</v>
      </c>
      <c r="BB2">
        <f>IFERROR($B$1/COUNT(Table46235[49]),0)</f>
        <v>2.5</v>
      </c>
      <c r="BC2">
        <f>IFERROR($B$1/COUNT(Table46235[50]),0)</f>
        <v>2.5</v>
      </c>
    </row>
    <row r="3" spans="1:56" hidden="1" outlineLevel="1" x14ac:dyDescent="0.25">
      <c r="A3" t="s">
        <v>4</v>
      </c>
      <c r="B3">
        <v>1.3</v>
      </c>
      <c r="C3" t="s">
        <v>5</v>
      </c>
      <c r="D3">
        <v>1</v>
      </c>
    </row>
    <row r="4" spans="1:56" collapsed="1" x14ac:dyDescent="0.25">
      <c r="A4" s="2" t="s">
        <v>6</v>
      </c>
      <c r="B4" s="3" t="s">
        <v>0</v>
      </c>
      <c r="C4" s="3" t="s">
        <v>1</v>
      </c>
      <c r="D4" s="3" t="s">
        <v>3</v>
      </c>
      <c r="E4" s="3" t="s">
        <v>2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  <c r="M4" s="3" t="s">
        <v>15</v>
      </c>
      <c r="N4" s="3" t="s">
        <v>16</v>
      </c>
      <c r="O4" s="3" t="s">
        <v>17</v>
      </c>
      <c r="P4" s="3" t="s">
        <v>18</v>
      </c>
      <c r="Q4" s="3" t="s">
        <v>19</v>
      </c>
      <c r="R4" s="3" t="s">
        <v>20</v>
      </c>
      <c r="S4" s="3" t="s">
        <v>21</v>
      </c>
      <c r="T4" s="3" t="s">
        <v>22</v>
      </c>
      <c r="U4" s="3" t="s">
        <v>23</v>
      </c>
      <c r="V4" s="3" t="s">
        <v>24</v>
      </c>
      <c r="W4" s="3" t="s">
        <v>25</v>
      </c>
      <c r="X4" s="3" t="s">
        <v>26</v>
      </c>
      <c r="Y4" s="3" t="s">
        <v>27</v>
      </c>
      <c r="Z4" s="3" t="s">
        <v>28</v>
      </c>
      <c r="AA4" s="3" t="s">
        <v>29</v>
      </c>
      <c r="AB4" s="3" t="s">
        <v>30</v>
      </c>
      <c r="AC4" s="3" t="s">
        <v>31</v>
      </c>
      <c r="AD4" s="3" t="s">
        <v>32</v>
      </c>
      <c r="AE4" s="4" t="s">
        <v>37</v>
      </c>
      <c r="AF4" s="4" t="s">
        <v>38</v>
      </c>
      <c r="AG4" s="4" t="s">
        <v>39</v>
      </c>
      <c r="AH4" s="4" t="s">
        <v>40</v>
      </c>
      <c r="AI4" s="4" t="s">
        <v>41</v>
      </c>
      <c r="AJ4" s="4" t="s">
        <v>43</v>
      </c>
      <c r="AK4" s="4" t="s">
        <v>44</v>
      </c>
      <c r="AL4" s="4" t="s">
        <v>45</v>
      </c>
      <c r="AM4" s="4" t="s">
        <v>46</v>
      </c>
      <c r="AN4" s="4" t="s">
        <v>47</v>
      </c>
      <c r="AO4" s="4" t="s">
        <v>48</v>
      </c>
      <c r="AP4" s="4" t="s">
        <v>49</v>
      </c>
      <c r="AQ4" s="4" t="s">
        <v>50</v>
      </c>
      <c r="AR4" s="4" t="s">
        <v>51</v>
      </c>
      <c r="AS4" s="4" t="s">
        <v>52</v>
      </c>
      <c r="AT4" s="4" t="s">
        <v>53</v>
      </c>
      <c r="AU4" s="4" t="s">
        <v>54</v>
      </c>
      <c r="AV4" s="4" t="s">
        <v>55</v>
      </c>
      <c r="AW4" s="4" t="s">
        <v>56</v>
      </c>
      <c r="AX4" s="4" t="s">
        <v>57</v>
      </c>
      <c r="AY4" s="4" t="s">
        <v>58</v>
      </c>
      <c r="AZ4" s="4" t="s">
        <v>59</v>
      </c>
      <c r="BA4" s="4" t="s">
        <v>60</v>
      </c>
      <c r="BB4" s="4" t="s">
        <v>61</v>
      </c>
      <c r="BC4" s="4" t="s">
        <v>62</v>
      </c>
      <c r="BD4" s="4" t="s">
        <v>33</v>
      </c>
    </row>
    <row r="5" spans="1:56" x14ac:dyDescent="0.25">
      <c r="A5" s="24">
        <v>1</v>
      </c>
      <c r="B5" s="6" t="s">
        <v>182</v>
      </c>
      <c r="C5" s="6" t="s">
        <v>183</v>
      </c>
      <c r="D5" s="6" t="s">
        <v>100</v>
      </c>
      <c r="E5" s="6"/>
      <c r="F5" s="6"/>
      <c r="G5" s="6"/>
      <c r="H5" s="6"/>
      <c r="I5" s="6"/>
      <c r="J5" s="6"/>
      <c r="K5" s="6"/>
      <c r="L5" s="6"/>
      <c r="M5" s="6"/>
      <c r="N5" s="6">
        <v>1.3</v>
      </c>
      <c r="O5" s="6"/>
      <c r="P5" s="6"/>
      <c r="Q5" s="6"/>
      <c r="R5" s="6"/>
      <c r="S5" s="6">
        <v>1</v>
      </c>
      <c r="T5" s="6"/>
      <c r="U5" s="6">
        <v>1.3</v>
      </c>
      <c r="V5" s="6"/>
      <c r="W5" s="6"/>
      <c r="X5" s="6"/>
      <c r="Y5" s="6"/>
      <c r="Z5" s="6">
        <v>1</v>
      </c>
      <c r="AA5" s="6"/>
      <c r="AB5" s="6">
        <v>1.3</v>
      </c>
      <c r="AC5" s="6">
        <v>1</v>
      </c>
      <c r="AD5" s="6"/>
      <c r="AE5" s="25"/>
      <c r="AF5" s="25">
        <v>1</v>
      </c>
      <c r="AG5" s="25"/>
      <c r="AH5" s="25"/>
      <c r="AI5" s="25"/>
      <c r="AJ5" s="25">
        <v>1.3</v>
      </c>
      <c r="AK5" s="25">
        <v>1.3</v>
      </c>
      <c r="AL5" s="25">
        <v>1.3</v>
      </c>
      <c r="AM5" s="25"/>
      <c r="AN5" s="25">
        <v>1.3</v>
      </c>
      <c r="AO5" s="25">
        <v>1.3</v>
      </c>
      <c r="AP5" s="25">
        <v>1.3</v>
      </c>
      <c r="AQ5" s="25">
        <v>1.3</v>
      </c>
      <c r="AR5" s="25">
        <v>1.3</v>
      </c>
      <c r="AS5" s="25">
        <v>1.3</v>
      </c>
      <c r="AT5" s="25">
        <v>1.3</v>
      </c>
      <c r="AU5" s="25">
        <v>1.3</v>
      </c>
      <c r="AV5" s="25">
        <v>1.3</v>
      </c>
      <c r="AW5" s="25">
        <v>1.3</v>
      </c>
      <c r="AX5" s="25">
        <v>1.3</v>
      </c>
      <c r="AY5" s="25">
        <v>1.3</v>
      </c>
      <c r="AZ5" s="25">
        <v>1.3</v>
      </c>
      <c r="BA5" s="25">
        <v>1.3</v>
      </c>
      <c r="BB5" s="25">
        <v>1.3</v>
      </c>
      <c r="BC5" s="25">
        <v>1.3</v>
      </c>
      <c r="BD5" s="26">
        <f>SUMPRODUCT($F$2:$BC$2,Table46235[[#This Row],[1]:[50]])</f>
        <v>231.06960862494924</v>
      </c>
    </row>
    <row r="6" spans="1:56" x14ac:dyDescent="0.25">
      <c r="A6" s="27">
        <v>2</v>
      </c>
      <c r="B6" s="28" t="s">
        <v>297</v>
      </c>
      <c r="C6" s="28" t="s">
        <v>203</v>
      </c>
      <c r="D6" s="28" t="s">
        <v>100</v>
      </c>
      <c r="E6" s="28" t="s">
        <v>204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>
        <v>1.3</v>
      </c>
      <c r="V6" s="28"/>
      <c r="W6" s="28"/>
      <c r="X6" s="28"/>
      <c r="Y6" s="28"/>
      <c r="Z6" s="28">
        <v>1.3</v>
      </c>
      <c r="AA6" s="28"/>
      <c r="AB6" s="28">
        <v>1.3</v>
      </c>
      <c r="AC6" s="28">
        <v>1.3</v>
      </c>
      <c r="AD6" s="28"/>
      <c r="AE6" s="29"/>
      <c r="AF6" s="29">
        <v>1.3</v>
      </c>
      <c r="AG6" s="29">
        <v>1.3</v>
      </c>
      <c r="AH6" s="29">
        <v>1</v>
      </c>
      <c r="AI6" s="29"/>
      <c r="AJ6" s="29">
        <v>1.3</v>
      </c>
      <c r="AK6" s="29">
        <v>1.3</v>
      </c>
      <c r="AL6" s="29">
        <v>1.3</v>
      </c>
      <c r="AM6" s="29">
        <v>1</v>
      </c>
      <c r="AN6" s="29"/>
      <c r="AO6" s="29">
        <v>1.3</v>
      </c>
      <c r="AP6" s="29">
        <v>1.3</v>
      </c>
      <c r="AQ6" s="29">
        <v>1.3</v>
      </c>
      <c r="AR6" s="29">
        <v>1.3</v>
      </c>
      <c r="AS6" s="29">
        <v>1.3</v>
      </c>
      <c r="AT6" s="29">
        <v>1.3</v>
      </c>
      <c r="AU6" s="29">
        <v>1.3</v>
      </c>
      <c r="AV6" s="29">
        <v>1.3</v>
      </c>
      <c r="AW6" s="29">
        <v>1.3</v>
      </c>
      <c r="AX6" s="29">
        <v>1.3</v>
      </c>
      <c r="AY6" s="29">
        <v>1.3</v>
      </c>
      <c r="AZ6" s="29">
        <v>1.3</v>
      </c>
      <c r="BA6" s="29">
        <v>1.3</v>
      </c>
      <c r="BB6" s="29">
        <v>1.3</v>
      </c>
      <c r="BC6" s="29">
        <v>1.3</v>
      </c>
      <c r="BD6" s="30">
        <f>SUMPRODUCT($F$2:$BC$2,Table46235[[#This Row],[1]:[50]])</f>
        <v>215.93071973606035</v>
      </c>
    </row>
    <row r="7" spans="1:56" x14ac:dyDescent="0.25">
      <c r="A7" s="24">
        <v>3</v>
      </c>
      <c r="B7" s="28" t="s">
        <v>179</v>
      </c>
      <c r="C7" s="28" t="s">
        <v>180</v>
      </c>
      <c r="D7" s="28" t="s">
        <v>100</v>
      </c>
      <c r="E7" s="28" t="s">
        <v>181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>
        <v>1.3</v>
      </c>
      <c r="V7" s="28"/>
      <c r="W7" s="28"/>
      <c r="X7" s="28"/>
      <c r="Y7" s="28"/>
      <c r="Z7" s="28">
        <v>1</v>
      </c>
      <c r="AA7" s="28"/>
      <c r="AB7" s="28">
        <v>1.3</v>
      </c>
      <c r="AC7" s="28"/>
      <c r="AD7" s="28"/>
      <c r="AE7" s="29"/>
      <c r="AF7" s="29">
        <v>1.3</v>
      </c>
      <c r="AG7" s="29">
        <v>1</v>
      </c>
      <c r="AH7" s="29"/>
      <c r="AI7" s="29">
        <v>1</v>
      </c>
      <c r="AJ7" s="29">
        <v>1.3</v>
      </c>
      <c r="AK7" s="29">
        <v>1.3</v>
      </c>
      <c r="AL7" s="29">
        <v>1.3</v>
      </c>
      <c r="AM7" s="29"/>
      <c r="AN7" s="29"/>
      <c r="AO7" s="29">
        <v>1.3</v>
      </c>
      <c r="AP7" s="29">
        <v>1</v>
      </c>
      <c r="AQ7" s="29">
        <v>1.3</v>
      </c>
      <c r="AR7" s="29">
        <v>1.3</v>
      </c>
      <c r="AS7" s="29">
        <v>1.3</v>
      </c>
      <c r="AT7" s="29">
        <v>1.3</v>
      </c>
      <c r="AU7" s="29">
        <v>1.3</v>
      </c>
      <c r="AV7" s="29">
        <v>1.3</v>
      </c>
      <c r="AW7" s="29">
        <v>1.3</v>
      </c>
      <c r="AX7" s="29">
        <v>1.3</v>
      </c>
      <c r="AY7" s="29">
        <v>1.3</v>
      </c>
      <c r="AZ7" s="29">
        <v>1.3</v>
      </c>
      <c r="BA7" s="29">
        <v>1.3</v>
      </c>
      <c r="BB7" s="29">
        <v>1.3</v>
      </c>
      <c r="BC7" s="29">
        <v>1.3</v>
      </c>
      <c r="BD7" s="30">
        <f>SUMPRODUCT($F$2:$BC$2,Table46235[[#This Row],[1]:[50]])</f>
        <v>139.63170012821718</v>
      </c>
    </row>
    <row r="8" spans="1:56" x14ac:dyDescent="0.25">
      <c r="A8" s="24">
        <v>4</v>
      </c>
      <c r="B8" s="28" t="s">
        <v>360</v>
      </c>
      <c r="C8" s="28" t="s">
        <v>361</v>
      </c>
      <c r="D8" s="28" t="s">
        <v>100</v>
      </c>
      <c r="E8" s="28" t="s">
        <v>338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>
        <v>1.3</v>
      </c>
      <c r="V8" s="28"/>
      <c r="W8" s="28"/>
      <c r="X8" s="28"/>
      <c r="Y8" s="28"/>
      <c r="Z8" s="28">
        <v>1.3</v>
      </c>
      <c r="AA8" s="28"/>
      <c r="AB8" s="28">
        <v>1.3</v>
      </c>
      <c r="AC8" s="28">
        <v>1.3</v>
      </c>
      <c r="AD8" s="28"/>
      <c r="AE8" s="29"/>
      <c r="AF8" s="29"/>
      <c r="AG8" s="29"/>
      <c r="AH8" s="29"/>
      <c r="AI8" s="29"/>
      <c r="AJ8" s="29">
        <v>1.3</v>
      </c>
      <c r="AK8" s="29">
        <v>1.3</v>
      </c>
      <c r="AL8" s="29">
        <v>1.3</v>
      </c>
      <c r="AM8" s="29"/>
      <c r="AN8" s="29">
        <v>1</v>
      </c>
      <c r="AO8" s="29">
        <v>1.3</v>
      </c>
      <c r="AP8" s="29">
        <v>1.3</v>
      </c>
      <c r="AQ8" s="29">
        <v>1.3</v>
      </c>
      <c r="AR8" s="29">
        <v>1.3</v>
      </c>
      <c r="AS8" s="29">
        <v>1.3</v>
      </c>
      <c r="AT8" s="29">
        <v>1.3</v>
      </c>
      <c r="AU8" s="29">
        <v>1.3</v>
      </c>
      <c r="AV8" s="29">
        <v>1.3</v>
      </c>
      <c r="AW8" s="29"/>
      <c r="AX8" s="29">
        <v>1.3</v>
      </c>
      <c r="AY8" s="29">
        <v>1.3</v>
      </c>
      <c r="AZ8" s="29">
        <v>1.3</v>
      </c>
      <c r="BA8" s="29"/>
      <c r="BB8" s="29">
        <v>1.3</v>
      </c>
      <c r="BC8" s="29">
        <v>1.3</v>
      </c>
      <c r="BD8" s="30">
        <f>SUMPRODUCT($F$2:$BC$2,Table46235[[#This Row],[1]:[50]])</f>
        <v>103.81266418050475</v>
      </c>
    </row>
    <row r="9" spans="1:56" x14ac:dyDescent="0.25">
      <c r="A9" s="27">
        <v>5</v>
      </c>
      <c r="B9" s="28" t="s">
        <v>184</v>
      </c>
      <c r="C9" s="28" t="s">
        <v>150</v>
      </c>
      <c r="D9" s="28" t="s">
        <v>100</v>
      </c>
      <c r="E9" s="28" t="s">
        <v>186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>
        <v>1</v>
      </c>
      <c r="V9" s="28"/>
      <c r="W9" s="28"/>
      <c r="X9" s="28"/>
      <c r="Y9" s="28"/>
      <c r="Z9" s="28">
        <v>1</v>
      </c>
      <c r="AA9" s="28"/>
      <c r="AB9" s="28">
        <v>1.3</v>
      </c>
      <c r="AC9" s="28">
        <v>1</v>
      </c>
      <c r="AD9" s="28"/>
      <c r="AE9" s="29"/>
      <c r="AF9" s="29"/>
      <c r="AG9" s="29"/>
      <c r="AH9" s="29"/>
      <c r="AI9" s="29"/>
      <c r="AJ9" s="29">
        <v>1.3</v>
      </c>
      <c r="AK9" s="29">
        <v>1.3</v>
      </c>
      <c r="AL9" s="29">
        <v>1</v>
      </c>
      <c r="AM9" s="29"/>
      <c r="AN9" s="29">
        <v>1</v>
      </c>
      <c r="AO9" s="29">
        <v>1.3</v>
      </c>
      <c r="AP9" s="29">
        <v>1.3</v>
      </c>
      <c r="AQ9" s="29">
        <v>1.3</v>
      </c>
      <c r="AR9" s="29">
        <v>1.3</v>
      </c>
      <c r="AS9" s="29">
        <v>1.3</v>
      </c>
      <c r="AT9" s="29">
        <v>1.3</v>
      </c>
      <c r="AU9" s="29">
        <v>1.3</v>
      </c>
      <c r="AV9" s="29">
        <v>1.3</v>
      </c>
      <c r="AW9" s="29">
        <v>1.3</v>
      </c>
      <c r="AX9" s="29">
        <v>1.3</v>
      </c>
      <c r="AY9" s="29">
        <v>1.3</v>
      </c>
      <c r="AZ9" s="29">
        <v>1.3</v>
      </c>
      <c r="BA9" s="29">
        <v>1.3</v>
      </c>
      <c r="BB9" s="29">
        <v>1.3</v>
      </c>
      <c r="BC9" s="29">
        <v>1.3</v>
      </c>
      <c r="BD9" s="30">
        <f>SUMPRODUCT($F$2:$BC$2,Table46235[[#This Row],[1]:[50]])</f>
        <v>102.20597226131284</v>
      </c>
    </row>
    <row r="10" spans="1:56" x14ac:dyDescent="0.25">
      <c r="A10" s="24">
        <v>6</v>
      </c>
      <c r="B10" s="28" t="s">
        <v>317</v>
      </c>
      <c r="C10" s="28" t="s">
        <v>318</v>
      </c>
      <c r="D10" s="28" t="s">
        <v>87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9"/>
      <c r="AF10" s="29"/>
      <c r="AG10" s="29"/>
      <c r="AH10" s="29"/>
      <c r="AI10" s="29">
        <v>1</v>
      </c>
      <c r="AJ10" s="29">
        <v>1.3</v>
      </c>
      <c r="AK10" s="29">
        <v>1.3</v>
      </c>
      <c r="AL10" s="29">
        <v>1.3</v>
      </c>
      <c r="AM10" s="29">
        <v>1</v>
      </c>
      <c r="AN10" s="29"/>
      <c r="AO10" s="29">
        <v>1.3</v>
      </c>
      <c r="AP10" s="29">
        <v>1.3</v>
      </c>
      <c r="AQ10" s="29">
        <v>1.3</v>
      </c>
      <c r="AR10" s="29">
        <v>1.3</v>
      </c>
      <c r="AS10" s="29">
        <v>1.3</v>
      </c>
      <c r="AT10" s="29">
        <v>1.3</v>
      </c>
      <c r="AU10" s="29">
        <v>1.3</v>
      </c>
      <c r="AV10" s="29">
        <v>1</v>
      </c>
      <c r="AW10" s="29">
        <v>1.3</v>
      </c>
      <c r="AX10" s="29">
        <v>1.3</v>
      </c>
      <c r="AY10" s="29">
        <v>1.3</v>
      </c>
      <c r="AZ10" s="29">
        <v>1.3</v>
      </c>
      <c r="BA10" s="29">
        <v>1.3</v>
      </c>
      <c r="BB10" s="29">
        <v>1.3</v>
      </c>
      <c r="BC10" s="29">
        <v>1.3</v>
      </c>
      <c r="BD10" s="30">
        <f>SUMPRODUCT($F$2:$BC$2,Table46235[[#This Row],[1]:[50]])</f>
        <v>98.708497513838083</v>
      </c>
    </row>
    <row r="11" spans="1:56" x14ac:dyDescent="0.25">
      <c r="A11" s="9">
        <v>7</v>
      </c>
      <c r="B11" s="11" t="s">
        <v>319</v>
      </c>
      <c r="C11" s="11" t="s">
        <v>320</v>
      </c>
      <c r="D11" s="11" t="s">
        <v>100</v>
      </c>
      <c r="E11" s="11" t="s">
        <v>186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>
        <v>1.3</v>
      </c>
      <c r="V11" s="11"/>
      <c r="W11" s="11"/>
      <c r="X11" s="11"/>
      <c r="Y11" s="11"/>
      <c r="Z11" s="11"/>
      <c r="AA11" s="11"/>
      <c r="AB11" s="11">
        <v>1</v>
      </c>
      <c r="AC11" s="11"/>
      <c r="AD11" s="11"/>
      <c r="AE11" s="19"/>
      <c r="AF11" s="19">
        <v>1.3</v>
      </c>
      <c r="AG11" s="19"/>
      <c r="AH11" s="19"/>
      <c r="AI11" s="19"/>
      <c r="AJ11" s="19">
        <v>1.3</v>
      </c>
      <c r="AK11" s="19">
        <v>1.3</v>
      </c>
      <c r="AL11" s="19"/>
      <c r="AM11" s="19"/>
      <c r="AN11" s="19">
        <v>1</v>
      </c>
      <c r="AO11" s="19">
        <v>1.3</v>
      </c>
      <c r="AP11" s="19">
        <v>1</v>
      </c>
      <c r="AQ11" s="19">
        <v>1.3</v>
      </c>
      <c r="AR11" s="19">
        <v>1</v>
      </c>
      <c r="AS11" s="19">
        <v>1.3</v>
      </c>
      <c r="AT11" s="19">
        <v>1.3</v>
      </c>
      <c r="AU11" s="19">
        <v>1.3</v>
      </c>
      <c r="AV11" s="19">
        <v>1.3</v>
      </c>
      <c r="AW11" s="19">
        <v>1</v>
      </c>
      <c r="AX11" s="19">
        <v>1.3</v>
      </c>
      <c r="AY11" s="19">
        <v>1.3</v>
      </c>
      <c r="AZ11" s="19">
        <v>1.3</v>
      </c>
      <c r="BA11" s="19">
        <v>1.3</v>
      </c>
      <c r="BB11" s="19">
        <v>1.3</v>
      </c>
      <c r="BC11" s="19">
        <v>1.3</v>
      </c>
      <c r="BD11" s="12">
        <f>SUMPRODUCT($F$2:$BC$2,Table46235[[#This Row],[1]:[50]])</f>
        <v>89.139275885792912</v>
      </c>
    </row>
    <row r="12" spans="1:56" x14ac:dyDescent="0.25">
      <c r="A12" s="10">
        <v>8</v>
      </c>
      <c r="B12" s="11" t="s">
        <v>217</v>
      </c>
      <c r="C12" s="11" t="s">
        <v>124</v>
      </c>
      <c r="D12" s="11" t="s">
        <v>100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>
        <v>1</v>
      </c>
      <c r="AA12" s="11"/>
      <c r="AB12" s="11">
        <v>1.3</v>
      </c>
      <c r="AC12" s="11"/>
      <c r="AD12" s="11"/>
      <c r="AE12" s="19"/>
      <c r="AF12" s="19">
        <v>1.3</v>
      </c>
      <c r="AG12" s="19"/>
      <c r="AH12" s="19"/>
      <c r="AI12" s="19"/>
      <c r="AJ12" s="19">
        <v>1</v>
      </c>
      <c r="AK12" s="19">
        <v>1.3</v>
      </c>
      <c r="AL12" s="19">
        <v>1.3</v>
      </c>
      <c r="AM12" s="19"/>
      <c r="AN12" s="19"/>
      <c r="AO12" s="19">
        <v>1.3</v>
      </c>
      <c r="AP12" s="19">
        <v>1</v>
      </c>
      <c r="AQ12" s="19">
        <v>1.3</v>
      </c>
      <c r="AR12" s="19">
        <v>1.3</v>
      </c>
      <c r="AS12" s="19">
        <v>1.3</v>
      </c>
      <c r="AT12" s="19">
        <v>1.3</v>
      </c>
      <c r="AU12" s="19">
        <v>1.3</v>
      </c>
      <c r="AV12" s="19">
        <v>1.3</v>
      </c>
      <c r="AW12" s="19">
        <v>1.3</v>
      </c>
      <c r="AX12" s="19">
        <v>1.3</v>
      </c>
      <c r="AY12" s="19">
        <v>1.3</v>
      </c>
      <c r="AZ12" s="19">
        <v>1.3</v>
      </c>
      <c r="BA12" s="19">
        <v>1.3</v>
      </c>
      <c r="BB12" s="19">
        <v>1.3</v>
      </c>
      <c r="BC12" s="19">
        <v>1.3</v>
      </c>
      <c r="BD12" s="12">
        <f>SUMPRODUCT($F$2:$BC$2,Table46235[[#This Row],[1]:[50]])</f>
        <v>86.194200128217176</v>
      </c>
    </row>
    <row r="13" spans="1:56" x14ac:dyDescent="0.25">
      <c r="A13" s="9">
        <v>9</v>
      </c>
      <c r="B13" s="11" t="s">
        <v>374</v>
      </c>
      <c r="C13" s="11" t="s">
        <v>375</v>
      </c>
      <c r="D13" s="11" t="s">
        <v>80</v>
      </c>
      <c r="E13" s="11" t="s">
        <v>288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9"/>
      <c r="AF13" s="19"/>
      <c r="AG13" s="19"/>
      <c r="AH13" s="19"/>
      <c r="AI13" s="19">
        <v>1</v>
      </c>
      <c r="AJ13" s="19"/>
      <c r="AK13" s="19">
        <v>1.3</v>
      </c>
      <c r="AL13" s="19">
        <v>1.3</v>
      </c>
      <c r="AM13" s="19"/>
      <c r="AN13" s="19">
        <v>1</v>
      </c>
      <c r="AO13" s="19">
        <v>1.3</v>
      </c>
      <c r="AP13" s="19">
        <v>1.3</v>
      </c>
      <c r="AQ13" s="19">
        <v>1.3</v>
      </c>
      <c r="AR13" s="19">
        <v>1.3</v>
      </c>
      <c r="AS13" s="19">
        <v>1.3</v>
      </c>
      <c r="AT13" s="19">
        <v>1.3</v>
      </c>
      <c r="AU13" s="19">
        <v>1.3</v>
      </c>
      <c r="AV13" s="19">
        <v>1.3</v>
      </c>
      <c r="AW13" s="19">
        <v>1.3</v>
      </c>
      <c r="AX13" s="19">
        <v>1.3</v>
      </c>
      <c r="AY13" s="19">
        <v>1.3</v>
      </c>
      <c r="AZ13" s="19">
        <v>1.3</v>
      </c>
      <c r="BA13" s="19">
        <v>1.3</v>
      </c>
      <c r="BB13" s="19">
        <v>1.3</v>
      </c>
      <c r="BC13" s="19">
        <v>1.3</v>
      </c>
      <c r="BD13" s="12">
        <f>SUMPRODUCT($F$2:$BC$2,Table46235[[#This Row],[1]:[50]])</f>
        <v>84.368219736060297</v>
      </c>
    </row>
    <row r="14" spans="1:56" x14ac:dyDescent="0.25">
      <c r="A14" s="9">
        <v>10</v>
      </c>
      <c r="B14" s="11" t="s">
        <v>406</v>
      </c>
      <c r="C14" s="11" t="s">
        <v>407</v>
      </c>
      <c r="D14" s="11" t="s">
        <v>100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>
        <v>1.3</v>
      </c>
      <c r="AA14" s="11"/>
      <c r="AB14" s="11">
        <v>1</v>
      </c>
      <c r="AC14" s="11"/>
      <c r="AD14" s="11"/>
      <c r="AE14" s="19"/>
      <c r="AF14" s="19"/>
      <c r="AG14" s="19"/>
      <c r="AH14" s="19"/>
      <c r="AI14" s="19"/>
      <c r="AJ14" s="19">
        <v>1.3</v>
      </c>
      <c r="AK14" s="19">
        <v>1.3</v>
      </c>
      <c r="AL14" s="19">
        <v>1.3</v>
      </c>
      <c r="AM14" s="19"/>
      <c r="AN14" s="19">
        <v>1</v>
      </c>
      <c r="AO14" s="19">
        <v>1.3</v>
      </c>
      <c r="AP14" s="19">
        <v>1.3</v>
      </c>
      <c r="AQ14" s="19">
        <v>1.3</v>
      </c>
      <c r="AR14" s="19">
        <v>1.3</v>
      </c>
      <c r="AS14" s="19">
        <v>1.3</v>
      </c>
      <c r="AT14" s="19">
        <v>1.3</v>
      </c>
      <c r="AU14" s="19">
        <v>1.3</v>
      </c>
      <c r="AV14" s="19">
        <v>1.3</v>
      </c>
      <c r="AW14" s="19">
        <v>1.3</v>
      </c>
      <c r="AX14" s="19">
        <v>1.3</v>
      </c>
      <c r="AY14" s="19">
        <v>1.3</v>
      </c>
      <c r="AZ14" s="19">
        <v>1.3</v>
      </c>
      <c r="BA14" s="19">
        <v>1.3</v>
      </c>
      <c r="BB14" s="19">
        <v>1.3</v>
      </c>
      <c r="BC14" s="19">
        <v>1.3</v>
      </c>
      <c r="BD14" s="12">
        <f>SUMPRODUCT($F$2:$BC$2,Table46235[[#This Row],[1]:[50]])</f>
        <v>83.152941958282526</v>
      </c>
    </row>
    <row r="15" spans="1:56" x14ac:dyDescent="0.25">
      <c r="A15" s="10">
        <v>11</v>
      </c>
      <c r="B15" s="11" t="s">
        <v>326</v>
      </c>
      <c r="C15" s="11" t="s">
        <v>327</v>
      </c>
      <c r="D15" s="11" t="s">
        <v>80</v>
      </c>
      <c r="E15" s="11" t="s">
        <v>288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>
        <v>1</v>
      </c>
      <c r="AA15" s="11"/>
      <c r="AB15" s="11"/>
      <c r="AC15" s="11"/>
      <c r="AD15" s="11"/>
      <c r="AE15" s="19"/>
      <c r="AF15" s="19"/>
      <c r="AG15" s="19"/>
      <c r="AH15" s="19"/>
      <c r="AI15" s="19"/>
      <c r="AJ15" s="19"/>
      <c r="AK15" s="19">
        <v>1.3</v>
      </c>
      <c r="AL15" s="19"/>
      <c r="AM15" s="19">
        <v>1</v>
      </c>
      <c r="AN15" s="19"/>
      <c r="AO15" s="19">
        <v>1.3</v>
      </c>
      <c r="AP15" s="19">
        <v>1.3</v>
      </c>
      <c r="AQ15" s="19">
        <v>1.3</v>
      </c>
      <c r="AR15" s="19">
        <v>1.3</v>
      </c>
      <c r="AS15" s="19">
        <v>1.3</v>
      </c>
      <c r="AT15" s="19">
        <v>1.3</v>
      </c>
      <c r="AU15" s="19">
        <v>1.3</v>
      </c>
      <c r="AV15" s="19">
        <v>1.3</v>
      </c>
      <c r="AW15" s="19">
        <v>1.3</v>
      </c>
      <c r="AX15" s="19">
        <v>1.3</v>
      </c>
      <c r="AY15" s="19">
        <v>1.3</v>
      </c>
      <c r="AZ15" s="19">
        <v>1.3</v>
      </c>
      <c r="BA15" s="19">
        <v>1.3</v>
      </c>
      <c r="BB15" s="19">
        <v>1.3</v>
      </c>
      <c r="BC15" s="19">
        <v>1.3</v>
      </c>
      <c r="BD15" s="12">
        <f>SUMPRODUCT($F$2:$BC$2,Table46235[[#This Row],[1]:[50]])</f>
        <v>78.459128826969391</v>
      </c>
    </row>
    <row r="16" spans="1:56" x14ac:dyDescent="0.25">
      <c r="A16" s="9">
        <v>12</v>
      </c>
      <c r="B16" s="11" t="s">
        <v>210</v>
      </c>
      <c r="C16" s="11" t="s">
        <v>211</v>
      </c>
      <c r="D16" s="11" t="s">
        <v>100</v>
      </c>
      <c r="E16" s="11" t="s">
        <v>125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9"/>
      <c r="AF16" s="19"/>
      <c r="AG16" s="19"/>
      <c r="AH16" s="19"/>
      <c r="AI16" s="19"/>
      <c r="AJ16" s="19">
        <v>1.3</v>
      </c>
      <c r="AK16" s="19">
        <v>1.3</v>
      </c>
      <c r="AL16" s="19">
        <v>1</v>
      </c>
      <c r="AM16" s="19"/>
      <c r="AN16" s="19">
        <v>1</v>
      </c>
      <c r="AO16" s="19">
        <v>1.3</v>
      </c>
      <c r="AP16" s="19">
        <v>1.3</v>
      </c>
      <c r="AQ16" s="19">
        <v>1.3</v>
      </c>
      <c r="AR16" s="19">
        <v>1.3</v>
      </c>
      <c r="AS16" s="19">
        <v>1.3</v>
      </c>
      <c r="AT16" s="19">
        <v>1.3</v>
      </c>
      <c r="AU16" s="19">
        <v>1.3</v>
      </c>
      <c r="AV16" s="19">
        <v>1.3</v>
      </c>
      <c r="AW16" s="19">
        <v>1.3</v>
      </c>
      <c r="AX16" s="19">
        <v>1.3</v>
      </c>
      <c r="AY16" s="19">
        <v>1.3</v>
      </c>
      <c r="AZ16" s="19">
        <v>1.3</v>
      </c>
      <c r="BA16" s="19">
        <v>1.3</v>
      </c>
      <c r="BB16" s="19">
        <v>1.3</v>
      </c>
      <c r="BC16" s="19">
        <v>1.3</v>
      </c>
      <c r="BD16" s="12">
        <f>SUMPRODUCT($F$2:$BC$2,Table46235[[#This Row],[1]:[50]])</f>
        <v>70.40041670575728</v>
      </c>
    </row>
    <row r="17" spans="1:56" x14ac:dyDescent="0.25">
      <c r="A17" s="9">
        <v>13</v>
      </c>
      <c r="B17" s="11" t="s">
        <v>428</v>
      </c>
      <c r="C17" s="11" t="s">
        <v>370</v>
      </c>
      <c r="D17" s="11" t="s">
        <v>100</v>
      </c>
      <c r="E17" s="11" t="s">
        <v>115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>
        <v>1</v>
      </c>
      <c r="AC17" s="11"/>
      <c r="AD17" s="11"/>
      <c r="AE17" s="19"/>
      <c r="AF17" s="19"/>
      <c r="AG17" s="19"/>
      <c r="AH17" s="19"/>
      <c r="AI17" s="19"/>
      <c r="AJ17" s="19">
        <v>1</v>
      </c>
      <c r="AK17" s="19">
        <v>1.3</v>
      </c>
      <c r="AL17" s="19"/>
      <c r="AM17" s="19"/>
      <c r="AN17" s="19"/>
      <c r="AO17" s="19">
        <v>1.3</v>
      </c>
      <c r="AP17" s="19">
        <v>1.3</v>
      </c>
      <c r="AQ17" s="19">
        <v>1.3</v>
      </c>
      <c r="AR17" s="19">
        <v>1</v>
      </c>
      <c r="AS17" s="19">
        <v>1.3</v>
      </c>
      <c r="AT17" s="19">
        <v>1.3</v>
      </c>
      <c r="AU17" s="19">
        <v>1.3</v>
      </c>
      <c r="AV17" s="19">
        <v>1.3</v>
      </c>
      <c r="AW17" s="19">
        <v>1.3</v>
      </c>
      <c r="AX17" s="19">
        <v>1.3</v>
      </c>
      <c r="AY17" s="19">
        <v>1.3</v>
      </c>
      <c r="AZ17" s="19">
        <v>1.3</v>
      </c>
      <c r="BA17" s="19">
        <v>1.3</v>
      </c>
      <c r="BB17" s="19">
        <v>1.3</v>
      </c>
      <c r="BC17" s="19">
        <v>1.3</v>
      </c>
      <c r="BD17" s="12">
        <f>SUMPRODUCT($F$2:$BC$2,Table46235[[#This Row],[1]:[50]])</f>
        <v>62.695239938080512</v>
      </c>
    </row>
    <row r="18" spans="1:56" x14ac:dyDescent="0.25">
      <c r="A18" s="10">
        <v>14</v>
      </c>
      <c r="B18" s="11" t="s">
        <v>439</v>
      </c>
      <c r="C18" s="11" t="s">
        <v>440</v>
      </c>
      <c r="D18" s="11" t="s">
        <v>80</v>
      </c>
      <c r="E18" s="11" t="s">
        <v>288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>
        <v>1</v>
      </c>
      <c r="AC18" s="11"/>
      <c r="AD18" s="11"/>
      <c r="AE18" s="19"/>
      <c r="AF18" s="19"/>
      <c r="AG18" s="19"/>
      <c r="AH18" s="19"/>
      <c r="AI18" s="19"/>
      <c r="AJ18" s="19">
        <v>1</v>
      </c>
      <c r="AK18" s="19">
        <v>1.3</v>
      </c>
      <c r="AL18" s="19"/>
      <c r="AM18" s="19"/>
      <c r="AN18" s="19"/>
      <c r="AO18" s="19">
        <v>1.3</v>
      </c>
      <c r="AP18" s="19">
        <v>1.3</v>
      </c>
      <c r="AQ18" s="19">
        <v>1.3</v>
      </c>
      <c r="AR18" s="19">
        <v>1.3</v>
      </c>
      <c r="AS18" s="19">
        <v>1.3</v>
      </c>
      <c r="AT18" s="19">
        <v>1.3</v>
      </c>
      <c r="AU18" s="19">
        <v>1.3</v>
      </c>
      <c r="AV18" s="19">
        <v>1</v>
      </c>
      <c r="AW18" s="19">
        <v>1.3</v>
      </c>
      <c r="AX18" s="19">
        <v>1.3</v>
      </c>
      <c r="AY18" s="19">
        <v>1.3</v>
      </c>
      <c r="AZ18" s="19">
        <v>1.3</v>
      </c>
      <c r="BA18" s="19">
        <v>1.3</v>
      </c>
      <c r="BB18" s="19">
        <v>1.3</v>
      </c>
      <c r="BC18" s="19">
        <v>1.3</v>
      </c>
      <c r="BD18" s="12">
        <f>SUMPRODUCT($F$2:$BC$2,Table46235[[#This Row],[1]:[50]])</f>
        <v>62.695239938080505</v>
      </c>
    </row>
    <row r="19" spans="1:56" x14ac:dyDescent="0.25">
      <c r="A19" s="9">
        <v>15</v>
      </c>
      <c r="B19" s="11" t="s">
        <v>217</v>
      </c>
      <c r="C19" s="11" t="s">
        <v>218</v>
      </c>
      <c r="D19" s="11" t="s">
        <v>100</v>
      </c>
      <c r="E19" s="11" t="s">
        <v>125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>
        <v>1</v>
      </c>
      <c r="AC19" s="11"/>
      <c r="AD19" s="11"/>
      <c r="AE19" s="19"/>
      <c r="AF19" s="19"/>
      <c r="AG19" s="19"/>
      <c r="AH19" s="19"/>
      <c r="AI19" s="19"/>
      <c r="AJ19" s="19">
        <v>1.3</v>
      </c>
      <c r="AK19" s="19">
        <v>1.3</v>
      </c>
      <c r="AL19" s="19"/>
      <c r="AM19" s="19"/>
      <c r="AN19" s="19"/>
      <c r="AO19" s="19">
        <v>1.3</v>
      </c>
      <c r="AP19" s="19">
        <v>1.3</v>
      </c>
      <c r="AQ19" s="19">
        <v>1.3</v>
      </c>
      <c r="AR19" s="19">
        <v>1.3</v>
      </c>
      <c r="AS19" s="19">
        <v>1.3</v>
      </c>
      <c r="AT19" s="19">
        <v>1.3</v>
      </c>
      <c r="AU19" s="19">
        <v>1.3</v>
      </c>
      <c r="AV19" s="19">
        <v>1.3</v>
      </c>
      <c r="AW19" s="19">
        <v>1.3</v>
      </c>
      <c r="AX19" s="19">
        <v>1.3</v>
      </c>
      <c r="AY19" s="19">
        <v>1.3</v>
      </c>
      <c r="AZ19" s="19">
        <v>1.3</v>
      </c>
      <c r="BA19" s="19"/>
      <c r="BB19" s="19">
        <v>1.3</v>
      </c>
      <c r="BC19" s="19">
        <v>1.3</v>
      </c>
      <c r="BD19" s="12">
        <f>SUMPRODUCT($F$2:$BC$2,Table46235[[#This Row],[1]:[50]])</f>
        <v>60.403573271413848</v>
      </c>
    </row>
    <row r="20" spans="1:56" x14ac:dyDescent="0.25">
      <c r="A20" s="9">
        <v>16</v>
      </c>
      <c r="B20" s="11" t="s">
        <v>392</v>
      </c>
      <c r="C20" s="11" t="s">
        <v>393</v>
      </c>
      <c r="D20" s="11" t="s">
        <v>100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9"/>
      <c r="AF20" s="19"/>
      <c r="AG20" s="19"/>
      <c r="AH20" s="19"/>
      <c r="AI20" s="19"/>
      <c r="AJ20" s="19">
        <v>1</v>
      </c>
      <c r="AK20" s="19">
        <v>1.3</v>
      </c>
      <c r="AL20" s="19"/>
      <c r="AM20" s="19"/>
      <c r="AN20" s="19">
        <v>1</v>
      </c>
      <c r="AO20" s="19">
        <v>1.3</v>
      </c>
      <c r="AP20" s="19">
        <v>1</v>
      </c>
      <c r="AQ20" s="19"/>
      <c r="AR20" s="19">
        <v>1.3</v>
      </c>
      <c r="AS20" s="19">
        <v>1.3</v>
      </c>
      <c r="AT20" s="19">
        <v>1.3</v>
      </c>
      <c r="AU20" s="19">
        <v>1.3</v>
      </c>
      <c r="AV20" s="19">
        <v>1.3</v>
      </c>
      <c r="AW20" s="19">
        <v>1.3</v>
      </c>
      <c r="AX20" s="19">
        <v>1.3</v>
      </c>
      <c r="AY20" s="19">
        <v>1.3</v>
      </c>
      <c r="AZ20" s="19">
        <v>1.3</v>
      </c>
      <c r="BA20" s="19">
        <v>1</v>
      </c>
      <c r="BB20" s="19">
        <v>1.3</v>
      </c>
      <c r="BC20" s="19">
        <v>1.3</v>
      </c>
      <c r="BD20" s="12">
        <f>SUMPRODUCT($F$2:$BC$2,Table46235[[#This Row],[1]:[50]])</f>
        <v>59.67655658754731</v>
      </c>
    </row>
    <row r="21" spans="1:56" x14ac:dyDescent="0.25">
      <c r="A21" s="10">
        <v>17</v>
      </c>
      <c r="B21" s="11" t="s">
        <v>394</v>
      </c>
      <c r="C21" s="11" t="s">
        <v>433</v>
      </c>
      <c r="D21" s="11" t="s">
        <v>100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9"/>
      <c r="AF21" s="19"/>
      <c r="AG21" s="19"/>
      <c r="AH21" s="19"/>
      <c r="AI21" s="19"/>
      <c r="AJ21" s="19"/>
      <c r="AK21" s="19">
        <v>1</v>
      </c>
      <c r="AL21" s="19"/>
      <c r="AM21" s="19"/>
      <c r="AN21" s="19"/>
      <c r="AO21" s="19">
        <v>1.3</v>
      </c>
      <c r="AP21" s="19">
        <v>1.3</v>
      </c>
      <c r="AQ21" s="19">
        <v>1.3</v>
      </c>
      <c r="AR21" s="19">
        <v>1.3</v>
      </c>
      <c r="AS21" s="19">
        <v>1.3</v>
      </c>
      <c r="AT21" s="19">
        <v>1.3</v>
      </c>
      <c r="AU21" s="19">
        <v>1</v>
      </c>
      <c r="AV21" s="19">
        <v>1.3</v>
      </c>
      <c r="AW21" s="19">
        <v>1.3</v>
      </c>
      <c r="AX21" s="19">
        <v>1.3</v>
      </c>
      <c r="AY21" s="19">
        <v>1</v>
      </c>
      <c r="AZ21" s="19">
        <v>1.3</v>
      </c>
      <c r="BA21" s="19">
        <v>1</v>
      </c>
      <c r="BB21" s="19">
        <v>1.3</v>
      </c>
      <c r="BC21" s="19">
        <v>1.3</v>
      </c>
      <c r="BD21" s="12">
        <f>SUMPRODUCT($F$2:$BC$2,Table46235[[#This Row],[1]:[50]])</f>
        <v>52.843266253869977</v>
      </c>
    </row>
    <row r="22" spans="1:56" x14ac:dyDescent="0.25">
      <c r="A22" s="9">
        <v>18</v>
      </c>
      <c r="B22" s="11" t="s">
        <v>437</v>
      </c>
      <c r="C22" s="11" t="s">
        <v>438</v>
      </c>
      <c r="D22" s="11" t="s">
        <v>80</v>
      </c>
      <c r="E22" s="11" t="s">
        <v>288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>
        <v>1.3</v>
      </c>
      <c r="AP22" s="19"/>
      <c r="AQ22" s="19">
        <v>1.3</v>
      </c>
      <c r="AR22" s="19">
        <v>1</v>
      </c>
      <c r="AS22" s="19">
        <v>1.3</v>
      </c>
      <c r="AT22" s="19">
        <v>1.3</v>
      </c>
      <c r="AU22" s="19">
        <v>1.3</v>
      </c>
      <c r="AV22" s="19">
        <v>1.3</v>
      </c>
      <c r="AW22" s="19">
        <v>1.3</v>
      </c>
      <c r="AX22" s="19">
        <v>1.3</v>
      </c>
      <c r="AY22" s="19">
        <v>1.3</v>
      </c>
      <c r="AZ22" s="19">
        <v>1.3</v>
      </c>
      <c r="BA22" s="19">
        <v>1.3</v>
      </c>
      <c r="BB22" s="19">
        <v>1.3</v>
      </c>
      <c r="BC22" s="19">
        <v>1.3</v>
      </c>
      <c r="BD22" s="12">
        <f>SUMPRODUCT($F$2:$BC$2,Table46235[[#This Row],[1]:[50]])</f>
        <v>48.158991228070171</v>
      </c>
    </row>
    <row r="23" spans="1:56" x14ac:dyDescent="0.25">
      <c r="A23" s="9">
        <v>19</v>
      </c>
      <c r="B23" s="11" t="s">
        <v>324</v>
      </c>
      <c r="C23" s="11" t="s">
        <v>325</v>
      </c>
      <c r="D23" s="11" t="s">
        <v>80</v>
      </c>
      <c r="E23" s="11" t="s">
        <v>288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>
        <v>1</v>
      </c>
      <c r="AA23" s="11"/>
      <c r="AB23" s="11">
        <v>1</v>
      </c>
      <c r="AC23" s="11"/>
      <c r="AD23" s="11"/>
      <c r="AE23" s="19"/>
      <c r="AF23" s="19"/>
      <c r="AG23" s="19"/>
      <c r="AH23" s="19"/>
      <c r="AI23" s="19"/>
      <c r="AJ23" s="19">
        <v>1</v>
      </c>
      <c r="AK23" s="19">
        <v>1.3</v>
      </c>
      <c r="AL23" s="19">
        <v>1</v>
      </c>
      <c r="AM23" s="19"/>
      <c r="AN23" s="19">
        <v>1</v>
      </c>
      <c r="AO23" s="19">
        <v>1.3</v>
      </c>
      <c r="AP23" s="19"/>
      <c r="AQ23" s="19">
        <v>1.3</v>
      </c>
      <c r="AR23" s="19"/>
      <c r="AS23" s="19">
        <v>1.3</v>
      </c>
      <c r="AT23" s="19">
        <v>1.3</v>
      </c>
      <c r="AU23" s="19"/>
      <c r="AV23" s="19"/>
      <c r="AW23" s="19"/>
      <c r="AX23" s="19"/>
      <c r="AY23" s="19"/>
      <c r="AZ23" s="19"/>
      <c r="BA23" s="19"/>
      <c r="BB23" s="19">
        <v>1.3</v>
      </c>
      <c r="BC23" s="19">
        <v>1.3</v>
      </c>
      <c r="BD23" s="12">
        <f>SUMPRODUCT($F$2:$BC$2,Table46235[[#This Row],[1]:[50]])</f>
        <v>46.211390217969161</v>
      </c>
    </row>
    <row r="24" spans="1:56" x14ac:dyDescent="0.25">
      <c r="A24" s="10">
        <v>20</v>
      </c>
      <c r="B24" s="5" t="s">
        <v>297</v>
      </c>
      <c r="C24" s="5" t="s">
        <v>298</v>
      </c>
      <c r="D24" s="5" t="s">
        <v>91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9"/>
      <c r="AF24" s="19">
        <v>1</v>
      </c>
      <c r="AG24" s="19"/>
      <c r="AH24" s="19"/>
      <c r="AI24" s="19"/>
      <c r="AJ24" s="19">
        <v>1.3</v>
      </c>
      <c r="AK24" s="19">
        <v>1.3</v>
      </c>
      <c r="AL24" s="19"/>
      <c r="AM24" s="19"/>
      <c r="AN24" s="19"/>
      <c r="AO24" s="19">
        <v>1.3</v>
      </c>
      <c r="AP24" s="19"/>
      <c r="AQ24" s="19">
        <v>1.3</v>
      </c>
      <c r="AR24" s="19"/>
      <c r="AS24" s="19"/>
      <c r="AT24" s="19">
        <v>1.3</v>
      </c>
      <c r="AU24" s="19"/>
      <c r="AV24" s="19"/>
      <c r="AW24" s="19">
        <v>1.3</v>
      </c>
      <c r="AX24" s="19"/>
      <c r="AY24" s="19"/>
      <c r="AZ24" s="19">
        <v>1.3</v>
      </c>
      <c r="BA24" s="19"/>
      <c r="BB24" s="19">
        <v>1.3</v>
      </c>
      <c r="BC24" s="19">
        <v>1.3</v>
      </c>
      <c r="BD24" s="12">
        <f>SUMPRODUCT($F$2:$BC$2,Table46235[[#This Row],[1]:[50]])</f>
        <v>39.270102339181285</v>
      </c>
    </row>
  </sheetData>
  <mergeCells count="1">
    <mergeCell ref="A2:E2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opLeftCell="A4" workbookViewId="0">
      <selection activeCell="B4" sqref="B4:E9"/>
    </sheetView>
  </sheetViews>
  <sheetFormatPr defaultRowHeight="15" x14ac:dyDescent="0.25"/>
  <cols>
    <col min="1" max="1" width="4.85546875" customWidth="1"/>
    <col min="2" max="2" width="10.42578125" bestFit="1" customWidth="1"/>
    <col min="3" max="3" width="12.140625" bestFit="1" customWidth="1"/>
    <col min="4" max="4" width="9.140625" bestFit="1" customWidth="1"/>
    <col min="5" max="5" width="19.85546875" bestFit="1" customWidth="1"/>
    <col min="6" max="6" width="6.5703125" customWidth="1"/>
    <col min="7" max="7" width="7" customWidth="1"/>
    <col min="8" max="8" width="6.5703125" customWidth="1"/>
    <col min="9" max="9" width="6.7109375" customWidth="1"/>
    <col min="10" max="10" width="7" customWidth="1"/>
    <col min="11" max="11" width="7.140625" customWidth="1"/>
    <col min="12" max="12" width="6.42578125" customWidth="1"/>
    <col min="13" max="13" width="6.7109375" customWidth="1"/>
  </cols>
  <sheetData>
    <row r="1" spans="1:19" x14ac:dyDescent="0.25">
      <c r="A1" s="7"/>
      <c r="B1" s="8"/>
      <c r="C1" s="8"/>
      <c r="D1" s="8"/>
      <c r="E1" s="8"/>
      <c r="F1" s="16"/>
      <c r="G1" s="16"/>
      <c r="H1" s="16"/>
      <c r="I1" s="16"/>
      <c r="J1" s="16"/>
      <c r="K1" s="16"/>
      <c r="L1" s="16"/>
      <c r="M1" s="16"/>
      <c r="N1" s="7"/>
      <c r="O1" s="7"/>
    </row>
    <row r="2" spans="1:19" x14ac:dyDescent="0.25">
      <c r="A2" s="13" t="s">
        <v>42</v>
      </c>
      <c r="F2" s="36">
        <v>1</v>
      </c>
      <c r="G2" s="36"/>
      <c r="H2" s="36">
        <v>2</v>
      </c>
      <c r="I2" s="36"/>
      <c r="J2" s="36">
        <v>3</v>
      </c>
      <c r="K2" s="36"/>
      <c r="L2" s="36">
        <v>4</v>
      </c>
      <c r="M2" s="36"/>
      <c r="N2" s="36" t="s">
        <v>441</v>
      </c>
      <c r="O2" s="36"/>
      <c r="P2" s="7"/>
    </row>
    <row r="3" spans="1:19" x14ac:dyDescent="0.25">
      <c r="B3" t="s">
        <v>0</v>
      </c>
      <c r="C3" t="s">
        <v>1</v>
      </c>
      <c r="D3" t="s">
        <v>3</v>
      </c>
      <c r="E3" t="s">
        <v>2</v>
      </c>
      <c r="F3" s="18" t="s">
        <v>34</v>
      </c>
      <c r="G3" s="18" t="s">
        <v>35</v>
      </c>
      <c r="H3" s="18" t="s">
        <v>34</v>
      </c>
      <c r="I3" s="18" t="s">
        <v>35</v>
      </c>
      <c r="J3" s="18" t="s">
        <v>34</v>
      </c>
      <c r="K3" s="18" t="s">
        <v>35</v>
      </c>
      <c r="L3" s="18" t="s">
        <v>34</v>
      </c>
      <c r="M3" s="18" t="s">
        <v>35</v>
      </c>
      <c r="N3" s="18" t="s">
        <v>34</v>
      </c>
      <c r="O3" s="18" t="s">
        <v>35</v>
      </c>
      <c r="P3" s="22" t="s">
        <v>447</v>
      </c>
      <c r="Q3" s="22" t="s">
        <v>448</v>
      </c>
      <c r="R3" s="22" t="s">
        <v>449</v>
      </c>
      <c r="S3" s="22" t="s">
        <v>450</v>
      </c>
    </row>
    <row r="4" spans="1:19" x14ac:dyDescent="0.25">
      <c r="A4" s="6">
        <v>1</v>
      </c>
      <c r="B4" s="6" t="s">
        <v>341</v>
      </c>
      <c r="C4" s="6" t="s">
        <v>342</v>
      </c>
      <c r="D4" s="6" t="s">
        <v>91</v>
      </c>
      <c r="E4" s="6" t="s">
        <v>344</v>
      </c>
      <c r="F4" s="20"/>
      <c r="G4" s="20">
        <v>1</v>
      </c>
      <c r="H4" s="20">
        <v>1</v>
      </c>
      <c r="I4" s="20">
        <v>1</v>
      </c>
      <c r="J4" s="20">
        <v>2</v>
      </c>
      <c r="K4" s="20">
        <v>2</v>
      </c>
      <c r="L4" s="20">
        <v>3</v>
      </c>
      <c r="M4" s="20">
        <v>2</v>
      </c>
      <c r="N4" s="6" t="str">
        <f t="shared" ref="N4:N19" si="0">COUNT(F4,H4,J4,L4)&amp;"t"&amp;SUM(F4,H4,J4,L4)</f>
        <v>3t6</v>
      </c>
      <c r="O4" s="6" t="str">
        <f t="shared" ref="O4:O19" si="1">COUNT(G4,I4,K4,M4)&amp;"b"&amp;SUM(G4,I4,K4,M4)</f>
        <v>4b6</v>
      </c>
      <c r="P4">
        <f t="shared" ref="P4:P19" si="2">COUNT(F4,H4,J4,L4)</f>
        <v>3</v>
      </c>
      <c r="Q4">
        <f t="shared" ref="Q4:Q19" si="3">COUNT(G4,I4,K4,M4)</f>
        <v>4</v>
      </c>
      <c r="R4">
        <f t="shared" ref="R4:R19" si="4">SUM(F4,H4,J4,L4)</f>
        <v>6</v>
      </c>
      <c r="S4">
        <f t="shared" ref="S4:S19" si="5">SUM(G4,I4,K4,M4)</f>
        <v>6</v>
      </c>
    </row>
    <row r="5" spans="1:19" x14ac:dyDescent="0.25">
      <c r="A5" s="6">
        <v>2</v>
      </c>
      <c r="B5" s="6" t="s">
        <v>165</v>
      </c>
      <c r="C5" s="6" t="s">
        <v>169</v>
      </c>
      <c r="D5" s="6" t="s">
        <v>100</v>
      </c>
      <c r="E5" s="6" t="s">
        <v>125</v>
      </c>
      <c r="F5" s="20"/>
      <c r="G5" s="20">
        <v>1</v>
      </c>
      <c r="H5" s="20">
        <v>4</v>
      </c>
      <c r="I5" s="20">
        <v>4</v>
      </c>
      <c r="J5" s="20">
        <v>3</v>
      </c>
      <c r="K5" s="20">
        <v>2</v>
      </c>
      <c r="L5" s="20">
        <v>3</v>
      </c>
      <c r="M5" s="20">
        <v>3</v>
      </c>
      <c r="N5" s="6" t="str">
        <f t="shared" si="0"/>
        <v>3t10</v>
      </c>
      <c r="O5" s="6" t="str">
        <f t="shared" si="1"/>
        <v>4b10</v>
      </c>
      <c r="P5">
        <f t="shared" si="2"/>
        <v>3</v>
      </c>
      <c r="Q5">
        <f t="shared" si="3"/>
        <v>4</v>
      </c>
      <c r="R5">
        <f t="shared" si="4"/>
        <v>10</v>
      </c>
      <c r="S5">
        <f t="shared" si="5"/>
        <v>10</v>
      </c>
    </row>
    <row r="6" spans="1:19" x14ac:dyDescent="0.25">
      <c r="A6" s="6">
        <v>3</v>
      </c>
      <c r="B6" s="6" t="s">
        <v>170</v>
      </c>
      <c r="C6" s="6" t="s">
        <v>171</v>
      </c>
      <c r="D6" s="6" t="s">
        <v>80</v>
      </c>
      <c r="E6" s="6" t="s">
        <v>82</v>
      </c>
      <c r="F6" s="20">
        <v>6</v>
      </c>
      <c r="G6" s="20">
        <v>1</v>
      </c>
      <c r="H6" s="20">
        <v>2</v>
      </c>
      <c r="I6" s="20">
        <v>2</v>
      </c>
      <c r="J6" s="20">
        <v>1</v>
      </c>
      <c r="K6" s="20">
        <v>1</v>
      </c>
      <c r="L6" s="20"/>
      <c r="M6" s="20"/>
      <c r="N6" s="6" t="str">
        <f t="shared" si="0"/>
        <v>3t9</v>
      </c>
      <c r="O6" s="6" t="str">
        <f t="shared" si="1"/>
        <v>3b4</v>
      </c>
      <c r="P6">
        <f t="shared" si="2"/>
        <v>3</v>
      </c>
      <c r="Q6">
        <f t="shared" si="3"/>
        <v>3</v>
      </c>
      <c r="R6">
        <f t="shared" si="4"/>
        <v>9</v>
      </c>
      <c r="S6">
        <f t="shared" si="5"/>
        <v>4</v>
      </c>
    </row>
    <row r="7" spans="1:19" x14ac:dyDescent="0.25">
      <c r="A7" s="6">
        <v>4</v>
      </c>
      <c r="B7" s="6" t="s">
        <v>355</v>
      </c>
      <c r="C7" s="6" t="s">
        <v>356</v>
      </c>
      <c r="D7" s="6" t="s">
        <v>80</v>
      </c>
      <c r="E7" s="6" t="s">
        <v>357</v>
      </c>
      <c r="F7" s="20">
        <v>1</v>
      </c>
      <c r="G7" s="20">
        <v>1</v>
      </c>
      <c r="H7" s="20">
        <v>2</v>
      </c>
      <c r="I7" s="20">
        <v>2</v>
      </c>
      <c r="J7" s="20"/>
      <c r="K7" s="20">
        <v>1</v>
      </c>
      <c r="L7" s="20"/>
      <c r="M7" s="20">
        <v>5</v>
      </c>
      <c r="N7" s="6" t="str">
        <f t="shared" si="0"/>
        <v>2t3</v>
      </c>
      <c r="O7" s="6" t="str">
        <f t="shared" si="1"/>
        <v>4b9</v>
      </c>
      <c r="P7">
        <f t="shared" si="2"/>
        <v>2</v>
      </c>
      <c r="Q7">
        <f t="shared" si="3"/>
        <v>4</v>
      </c>
      <c r="R7">
        <f t="shared" si="4"/>
        <v>3</v>
      </c>
      <c r="S7">
        <f t="shared" si="5"/>
        <v>9</v>
      </c>
    </row>
    <row r="8" spans="1:19" x14ac:dyDescent="0.25">
      <c r="A8" s="6">
        <v>5</v>
      </c>
      <c r="B8" s="6" t="s">
        <v>431</v>
      </c>
      <c r="C8" s="6" t="s">
        <v>145</v>
      </c>
      <c r="D8" s="6" t="s">
        <v>80</v>
      </c>
      <c r="E8" s="6"/>
      <c r="F8" s="20"/>
      <c r="G8" s="20">
        <v>1</v>
      </c>
      <c r="H8" s="20">
        <v>1</v>
      </c>
      <c r="I8" s="20">
        <v>1</v>
      </c>
      <c r="J8" s="20">
        <v>2</v>
      </c>
      <c r="K8" s="20">
        <v>2</v>
      </c>
      <c r="L8" s="20"/>
      <c r="M8" s="20"/>
      <c r="N8" s="6" t="str">
        <f t="shared" si="0"/>
        <v>2t3</v>
      </c>
      <c r="O8" s="6" t="str">
        <f t="shared" si="1"/>
        <v>3b4</v>
      </c>
      <c r="P8">
        <f t="shared" si="2"/>
        <v>2</v>
      </c>
      <c r="Q8">
        <f t="shared" si="3"/>
        <v>3</v>
      </c>
      <c r="R8">
        <f t="shared" si="4"/>
        <v>3</v>
      </c>
      <c r="S8">
        <f t="shared" si="5"/>
        <v>4</v>
      </c>
    </row>
    <row r="9" spans="1:19" x14ac:dyDescent="0.25">
      <c r="A9" s="6">
        <v>6</v>
      </c>
      <c r="B9" s="6" t="s">
        <v>207</v>
      </c>
      <c r="C9" s="6" t="s">
        <v>208</v>
      </c>
      <c r="D9" s="6" t="s">
        <v>80</v>
      </c>
      <c r="E9" s="6" t="s">
        <v>209</v>
      </c>
      <c r="F9" s="20"/>
      <c r="G9" s="20">
        <v>1</v>
      </c>
      <c r="H9" s="20">
        <v>2</v>
      </c>
      <c r="I9" s="20">
        <v>2</v>
      </c>
      <c r="J9" s="20">
        <v>4</v>
      </c>
      <c r="K9" s="20">
        <v>4</v>
      </c>
      <c r="L9" s="20"/>
      <c r="M9" s="20"/>
      <c r="N9" s="6" t="str">
        <f t="shared" si="0"/>
        <v>2t6</v>
      </c>
      <c r="O9" s="6" t="str">
        <f t="shared" si="1"/>
        <v>3b7</v>
      </c>
      <c r="P9">
        <f t="shared" si="2"/>
        <v>2</v>
      </c>
      <c r="Q9">
        <f t="shared" si="3"/>
        <v>3</v>
      </c>
      <c r="R9">
        <f t="shared" si="4"/>
        <v>6</v>
      </c>
      <c r="S9">
        <f t="shared" si="5"/>
        <v>7</v>
      </c>
    </row>
    <row r="10" spans="1:19" x14ac:dyDescent="0.25">
      <c r="A10" s="5">
        <v>7</v>
      </c>
      <c r="B10" s="33" t="s">
        <v>219</v>
      </c>
      <c r="C10" s="33" t="s">
        <v>220</v>
      </c>
      <c r="D10" s="33" t="s">
        <v>80</v>
      </c>
      <c r="E10" s="33" t="s">
        <v>221</v>
      </c>
      <c r="F10" s="34"/>
      <c r="G10" s="34">
        <v>1</v>
      </c>
      <c r="H10" s="34"/>
      <c r="I10" s="34">
        <v>3</v>
      </c>
      <c r="J10" s="34">
        <v>1</v>
      </c>
      <c r="K10" s="34">
        <v>1</v>
      </c>
      <c r="L10" s="34"/>
      <c r="M10" s="34">
        <v>1</v>
      </c>
      <c r="N10" s="33" t="str">
        <f t="shared" si="0"/>
        <v>1t1</v>
      </c>
      <c r="O10" s="33" t="str">
        <f t="shared" si="1"/>
        <v>4b6</v>
      </c>
      <c r="P10">
        <f t="shared" si="2"/>
        <v>1</v>
      </c>
      <c r="Q10">
        <f t="shared" si="3"/>
        <v>4</v>
      </c>
      <c r="R10">
        <f t="shared" si="4"/>
        <v>1</v>
      </c>
      <c r="S10">
        <f t="shared" si="5"/>
        <v>6</v>
      </c>
    </row>
    <row r="11" spans="1:19" x14ac:dyDescent="0.25">
      <c r="A11" s="5">
        <v>8</v>
      </c>
      <c r="B11" s="33" t="s">
        <v>396</v>
      </c>
      <c r="C11" s="33" t="s">
        <v>397</v>
      </c>
      <c r="D11" s="33" t="s">
        <v>100</v>
      </c>
      <c r="E11" s="33" t="s">
        <v>399</v>
      </c>
      <c r="F11" s="34"/>
      <c r="G11" s="34">
        <v>2</v>
      </c>
      <c r="H11" s="34"/>
      <c r="I11" s="34">
        <v>3</v>
      </c>
      <c r="J11" s="34">
        <v>3</v>
      </c>
      <c r="K11" s="34">
        <v>3</v>
      </c>
      <c r="L11" s="34"/>
      <c r="M11" s="34">
        <v>10</v>
      </c>
      <c r="N11" s="33" t="str">
        <f t="shared" si="0"/>
        <v>1t3</v>
      </c>
      <c r="O11" s="33" t="str">
        <f t="shared" si="1"/>
        <v>4b18</v>
      </c>
      <c r="P11">
        <f t="shared" si="2"/>
        <v>1</v>
      </c>
      <c r="Q11">
        <f t="shared" si="3"/>
        <v>4</v>
      </c>
      <c r="R11">
        <f t="shared" si="4"/>
        <v>3</v>
      </c>
      <c r="S11">
        <f t="shared" si="5"/>
        <v>18</v>
      </c>
    </row>
    <row r="12" spans="1:19" x14ac:dyDescent="0.25">
      <c r="A12" s="5">
        <v>9</v>
      </c>
      <c r="B12" s="5" t="s">
        <v>174</v>
      </c>
      <c r="C12" s="5" t="s">
        <v>175</v>
      </c>
      <c r="D12" s="5" t="s">
        <v>100</v>
      </c>
      <c r="E12" s="5" t="s">
        <v>125</v>
      </c>
      <c r="F12" s="17"/>
      <c r="G12" s="17">
        <v>1</v>
      </c>
      <c r="H12" s="17"/>
      <c r="I12" s="17"/>
      <c r="J12" s="17">
        <v>3</v>
      </c>
      <c r="K12" s="17">
        <v>1</v>
      </c>
      <c r="L12" s="17"/>
      <c r="M12" s="17">
        <v>4</v>
      </c>
      <c r="N12" s="5" t="str">
        <f t="shared" si="0"/>
        <v>1t3</v>
      </c>
      <c r="O12" s="5" t="str">
        <f t="shared" si="1"/>
        <v>3b6</v>
      </c>
      <c r="P12">
        <f t="shared" si="2"/>
        <v>1</v>
      </c>
      <c r="Q12">
        <f t="shared" si="3"/>
        <v>3</v>
      </c>
      <c r="R12">
        <f t="shared" si="4"/>
        <v>3</v>
      </c>
      <c r="S12">
        <f t="shared" si="5"/>
        <v>6</v>
      </c>
    </row>
    <row r="13" spans="1:19" x14ac:dyDescent="0.25">
      <c r="A13" s="5">
        <v>10</v>
      </c>
      <c r="B13" s="5" t="s">
        <v>121</v>
      </c>
      <c r="C13" s="5" t="s">
        <v>122</v>
      </c>
      <c r="D13" s="5" t="s">
        <v>118</v>
      </c>
      <c r="E13" s="5" t="s">
        <v>120</v>
      </c>
      <c r="F13" s="17"/>
      <c r="G13" s="17">
        <v>1</v>
      </c>
      <c r="H13" s="17"/>
      <c r="I13" s="17">
        <v>5</v>
      </c>
      <c r="J13" s="17">
        <v>6</v>
      </c>
      <c r="K13" s="17">
        <v>6</v>
      </c>
      <c r="L13" s="17"/>
      <c r="M13" s="17"/>
      <c r="N13" s="5" t="str">
        <f t="shared" si="0"/>
        <v>1t6</v>
      </c>
      <c r="O13" s="5" t="str">
        <f t="shared" si="1"/>
        <v>3b12</v>
      </c>
      <c r="P13">
        <f t="shared" si="2"/>
        <v>1</v>
      </c>
      <c r="Q13">
        <f t="shared" si="3"/>
        <v>3</v>
      </c>
      <c r="R13">
        <f t="shared" si="4"/>
        <v>6</v>
      </c>
      <c r="S13">
        <f t="shared" si="5"/>
        <v>12</v>
      </c>
    </row>
    <row r="14" spans="1:19" x14ac:dyDescent="0.25">
      <c r="A14" s="5">
        <v>11</v>
      </c>
      <c r="B14" s="5" t="s">
        <v>98</v>
      </c>
      <c r="C14" s="5" t="s">
        <v>99</v>
      </c>
      <c r="D14" s="5" t="s">
        <v>100</v>
      </c>
      <c r="E14" s="5"/>
      <c r="F14" s="17"/>
      <c r="G14" s="17">
        <v>2</v>
      </c>
      <c r="H14" s="17"/>
      <c r="I14" s="17">
        <v>4</v>
      </c>
      <c r="J14" s="17"/>
      <c r="K14" s="17">
        <v>4</v>
      </c>
      <c r="L14" s="17"/>
      <c r="M14" s="17">
        <v>2</v>
      </c>
      <c r="N14" s="5" t="str">
        <f t="shared" si="0"/>
        <v>0t0</v>
      </c>
      <c r="O14" s="5" t="str">
        <f t="shared" si="1"/>
        <v>4b12</v>
      </c>
      <c r="P14">
        <f t="shared" si="2"/>
        <v>0</v>
      </c>
      <c r="Q14">
        <f t="shared" si="3"/>
        <v>4</v>
      </c>
      <c r="R14">
        <f t="shared" si="4"/>
        <v>0</v>
      </c>
      <c r="S14">
        <f t="shared" si="5"/>
        <v>12</v>
      </c>
    </row>
    <row r="15" spans="1:19" x14ac:dyDescent="0.25">
      <c r="A15" s="5">
        <v>12</v>
      </c>
      <c r="B15" s="5" t="s">
        <v>261</v>
      </c>
      <c r="C15" s="5" t="s">
        <v>262</v>
      </c>
      <c r="D15" s="5" t="s">
        <v>80</v>
      </c>
      <c r="E15" s="5" t="s">
        <v>263</v>
      </c>
      <c r="F15" s="17"/>
      <c r="G15" s="17">
        <v>1</v>
      </c>
      <c r="H15" s="17"/>
      <c r="I15" s="17"/>
      <c r="J15" s="17"/>
      <c r="K15" s="17">
        <v>2</v>
      </c>
      <c r="L15" s="17"/>
      <c r="M15" s="17"/>
      <c r="N15" s="5" t="str">
        <f t="shared" si="0"/>
        <v>0t0</v>
      </c>
      <c r="O15" s="5" t="str">
        <f t="shared" si="1"/>
        <v>2b3</v>
      </c>
      <c r="P15">
        <f t="shared" si="2"/>
        <v>0</v>
      </c>
      <c r="Q15">
        <f t="shared" si="3"/>
        <v>2</v>
      </c>
      <c r="R15">
        <f t="shared" si="4"/>
        <v>0</v>
      </c>
      <c r="S15">
        <f t="shared" si="5"/>
        <v>3</v>
      </c>
    </row>
    <row r="16" spans="1:19" x14ac:dyDescent="0.25">
      <c r="A16" s="5">
        <v>13</v>
      </c>
      <c r="B16" s="5" t="s">
        <v>277</v>
      </c>
      <c r="C16" s="5" t="s">
        <v>278</v>
      </c>
      <c r="D16" s="5" t="s">
        <v>80</v>
      </c>
      <c r="E16" s="5" t="s">
        <v>263</v>
      </c>
      <c r="F16" s="17"/>
      <c r="G16" s="17">
        <v>2</v>
      </c>
      <c r="H16" s="17"/>
      <c r="I16" s="17"/>
      <c r="J16" s="17"/>
      <c r="K16" s="17">
        <v>1</v>
      </c>
      <c r="L16" s="17"/>
      <c r="M16" s="17"/>
      <c r="N16" s="5" t="str">
        <f t="shared" si="0"/>
        <v>0t0</v>
      </c>
      <c r="O16" s="5" t="str">
        <f t="shared" si="1"/>
        <v>2b3</v>
      </c>
      <c r="P16">
        <f t="shared" si="2"/>
        <v>0</v>
      </c>
      <c r="Q16">
        <f t="shared" si="3"/>
        <v>2</v>
      </c>
      <c r="R16">
        <f t="shared" si="4"/>
        <v>0</v>
      </c>
      <c r="S16">
        <f t="shared" si="5"/>
        <v>3</v>
      </c>
    </row>
    <row r="17" spans="1:19" x14ac:dyDescent="0.25">
      <c r="A17" s="5">
        <v>14</v>
      </c>
      <c r="B17" s="5" t="s">
        <v>301</v>
      </c>
      <c r="C17" s="5" t="s">
        <v>302</v>
      </c>
      <c r="D17" s="5" t="s">
        <v>91</v>
      </c>
      <c r="E17" s="5" t="s">
        <v>416</v>
      </c>
      <c r="F17" s="17"/>
      <c r="G17" s="17">
        <v>1</v>
      </c>
      <c r="H17" s="17"/>
      <c r="I17" s="17">
        <v>3</v>
      </c>
      <c r="J17" s="17"/>
      <c r="K17" s="17"/>
      <c r="L17" s="17"/>
      <c r="M17" s="17"/>
      <c r="N17" s="5" t="str">
        <f t="shared" si="0"/>
        <v>0t0</v>
      </c>
      <c r="O17" s="5" t="str">
        <f t="shared" si="1"/>
        <v>2b4</v>
      </c>
      <c r="P17">
        <f t="shared" si="2"/>
        <v>0</v>
      </c>
      <c r="Q17">
        <f t="shared" si="3"/>
        <v>2</v>
      </c>
      <c r="R17">
        <f t="shared" si="4"/>
        <v>0</v>
      </c>
      <c r="S17">
        <f t="shared" si="5"/>
        <v>4</v>
      </c>
    </row>
    <row r="18" spans="1:19" x14ac:dyDescent="0.25">
      <c r="A18" s="5">
        <v>15</v>
      </c>
      <c r="B18" s="5" t="s">
        <v>410</v>
      </c>
      <c r="C18" s="5" t="s">
        <v>411</v>
      </c>
      <c r="D18" s="5" t="s">
        <v>100</v>
      </c>
      <c r="E18" s="5" t="s">
        <v>115</v>
      </c>
      <c r="F18" s="17"/>
      <c r="G18" s="17">
        <v>1</v>
      </c>
      <c r="H18" s="17"/>
      <c r="I18" s="17"/>
      <c r="J18" s="17"/>
      <c r="K18" s="17"/>
      <c r="L18" s="17"/>
      <c r="M18" s="17"/>
      <c r="N18" s="5" t="str">
        <f t="shared" si="0"/>
        <v>0t0</v>
      </c>
      <c r="O18" s="5" t="str">
        <f t="shared" si="1"/>
        <v>1b1</v>
      </c>
      <c r="P18">
        <f t="shared" si="2"/>
        <v>0</v>
      </c>
      <c r="Q18">
        <f t="shared" si="3"/>
        <v>1</v>
      </c>
      <c r="R18">
        <f t="shared" si="4"/>
        <v>0</v>
      </c>
      <c r="S18">
        <f t="shared" si="5"/>
        <v>1</v>
      </c>
    </row>
    <row r="19" spans="1:19" x14ac:dyDescent="0.25">
      <c r="A19" s="5">
        <v>16</v>
      </c>
      <c r="B19" s="5" t="s">
        <v>362</v>
      </c>
      <c r="C19" s="5" t="s">
        <v>363</v>
      </c>
      <c r="D19" s="5" t="s">
        <v>100</v>
      </c>
      <c r="E19" s="5"/>
      <c r="F19" s="17"/>
      <c r="G19" s="17"/>
      <c r="H19" s="17"/>
      <c r="I19" s="17"/>
      <c r="J19" s="17"/>
      <c r="K19" s="17"/>
      <c r="L19" s="17"/>
      <c r="M19" s="17"/>
      <c r="N19" s="5" t="str">
        <f t="shared" si="0"/>
        <v>0t0</v>
      </c>
      <c r="O19" s="5" t="str">
        <f t="shared" si="1"/>
        <v>0b0</v>
      </c>
      <c r="P19">
        <f t="shared" si="2"/>
        <v>0</v>
      </c>
      <c r="Q19">
        <f t="shared" si="3"/>
        <v>0</v>
      </c>
      <c r="R19">
        <f t="shared" si="4"/>
        <v>0</v>
      </c>
      <c r="S19">
        <f t="shared" si="5"/>
        <v>0</v>
      </c>
    </row>
    <row r="21" spans="1:19" x14ac:dyDescent="0.25">
      <c r="A21" s="13" t="s">
        <v>63</v>
      </c>
      <c r="F21" s="36">
        <v>1</v>
      </c>
      <c r="G21" s="36"/>
      <c r="H21" s="36">
        <v>2</v>
      </c>
      <c r="I21" s="36"/>
      <c r="J21" s="36">
        <v>3</v>
      </c>
      <c r="K21" s="36"/>
      <c r="L21" s="36">
        <v>4</v>
      </c>
      <c r="M21" s="36"/>
      <c r="N21" s="36" t="s">
        <v>441</v>
      </c>
      <c r="O21" s="36"/>
    </row>
    <row r="22" spans="1:19" x14ac:dyDescent="0.25">
      <c r="B22" t="s">
        <v>0</v>
      </c>
      <c r="C22" t="s">
        <v>1</v>
      </c>
      <c r="D22" t="s">
        <v>3</v>
      </c>
      <c r="E22" t="s">
        <v>2</v>
      </c>
      <c r="F22" s="21" t="s">
        <v>34</v>
      </c>
      <c r="G22" s="21" t="s">
        <v>35</v>
      </c>
      <c r="H22" s="21" t="s">
        <v>34</v>
      </c>
      <c r="I22" s="21" t="s">
        <v>35</v>
      </c>
      <c r="J22" s="21" t="s">
        <v>34</v>
      </c>
      <c r="K22" s="21" t="s">
        <v>35</v>
      </c>
      <c r="L22" s="21" t="s">
        <v>34</v>
      </c>
      <c r="M22" s="21" t="s">
        <v>35</v>
      </c>
      <c r="N22" s="21" t="s">
        <v>34</v>
      </c>
      <c r="O22" s="21" t="s">
        <v>35</v>
      </c>
      <c r="P22" s="22" t="s">
        <v>447</v>
      </c>
      <c r="Q22" s="22" t="s">
        <v>448</v>
      </c>
      <c r="R22" s="22" t="s">
        <v>449</v>
      </c>
      <c r="S22" s="22" t="s">
        <v>450</v>
      </c>
    </row>
    <row r="23" spans="1:19" x14ac:dyDescent="0.25">
      <c r="A23" s="6">
        <v>1</v>
      </c>
      <c r="B23" s="6" t="s">
        <v>244</v>
      </c>
      <c r="C23" s="6" t="s">
        <v>245</v>
      </c>
      <c r="D23" s="6"/>
      <c r="E23" s="6"/>
      <c r="F23" s="20">
        <v>4</v>
      </c>
      <c r="G23" s="20">
        <v>1</v>
      </c>
      <c r="H23" s="20">
        <v>7</v>
      </c>
      <c r="I23" s="20">
        <v>7</v>
      </c>
      <c r="J23" s="20"/>
      <c r="K23" s="20">
        <v>1</v>
      </c>
      <c r="L23" s="20">
        <v>1</v>
      </c>
      <c r="M23" s="20">
        <v>1</v>
      </c>
      <c r="N23" s="6" t="str">
        <f t="shared" ref="N23:N35" si="6">COUNT(F23,H23,J23,L23)&amp;"t"&amp;SUM(F23,H23,J23,L23)</f>
        <v>3t12</v>
      </c>
      <c r="O23" s="6" t="str">
        <f t="shared" ref="O23:O35" si="7">COUNT(G23,I23,K23,M23)&amp;"b"&amp;SUM(G23,I23,K23,M23)</f>
        <v>4b10</v>
      </c>
      <c r="P23">
        <f t="shared" ref="P23:P35" si="8">COUNT(F23,H23,J23,L23)</f>
        <v>3</v>
      </c>
      <c r="Q23">
        <f t="shared" ref="Q23:Q35" si="9">COUNT(G23,I23,K23,M23)</f>
        <v>4</v>
      </c>
      <c r="R23">
        <f t="shared" ref="R23:R35" si="10">SUM(F23,H23,J23,L23)</f>
        <v>12</v>
      </c>
      <c r="S23">
        <f t="shared" ref="S23:S35" si="11">SUM(G23,I23,K23,M23)</f>
        <v>10</v>
      </c>
    </row>
    <row r="24" spans="1:19" x14ac:dyDescent="0.25">
      <c r="A24" s="6">
        <v>2</v>
      </c>
      <c r="B24" s="6" t="s">
        <v>156</v>
      </c>
      <c r="C24" s="6" t="s">
        <v>443</v>
      </c>
      <c r="D24" s="6"/>
      <c r="E24" s="6"/>
      <c r="F24" s="20">
        <v>1</v>
      </c>
      <c r="G24" s="20">
        <v>1</v>
      </c>
      <c r="H24" s="20"/>
      <c r="I24" s="20"/>
      <c r="J24" s="20">
        <v>2</v>
      </c>
      <c r="K24" s="20">
        <v>1</v>
      </c>
      <c r="L24" s="20">
        <v>1</v>
      </c>
      <c r="M24" s="20">
        <v>1</v>
      </c>
      <c r="N24" s="6" t="str">
        <f t="shared" si="6"/>
        <v>3t4</v>
      </c>
      <c r="O24" s="6" t="str">
        <f t="shared" si="7"/>
        <v>3b3</v>
      </c>
      <c r="P24">
        <f t="shared" si="8"/>
        <v>3</v>
      </c>
      <c r="Q24">
        <f t="shared" si="9"/>
        <v>3</v>
      </c>
      <c r="R24">
        <f t="shared" si="10"/>
        <v>4</v>
      </c>
      <c r="S24">
        <f t="shared" si="11"/>
        <v>3</v>
      </c>
    </row>
    <row r="25" spans="1:19" x14ac:dyDescent="0.25">
      <c r="A25" s="6">
        <v>3</v>
      </c>
      <c r="B25" s="6" t="s">
        <v>152</v>
      </c>
      <c r="C25" s="6" t="s">
        <v>444</v>
      </c>
      <c r="D25" s="6"/>
      <c r="E25" s="6"/>
      <c r="F25" s="20">
        <v>2</v>
      </c>
      <c r="G25" s="20">
        <v>2</v>
      </c>
      <c r="H25" s="20"/>
      <c r="I25" s="20"/>
      <c r="J25" s="20">
        <v>1</v>
      </c>
      <c r="K25" s="20">
        <v>1</v>
      </c>
      <c r="L25" s="20">
        <v>1</v>
      </c>
      <c r="M25" s="20">
        <v>1</v>
      </c>
      <c r="N25" s="6" t="str">
        <f t="shared" si="6"/>
        <v>3t4</v>
      </c>
      <c r="O25" s="6" t="str">
        <f t="shared" si="7"/>
        <v>3b4</v>
      </c>
      <c r="P25">
        <f t="shared" si="8"/>
        <v>3</v>
      </c>
      <c r="Q25">
        <f t="shared" si="9"/>
        <v>3</v>
      </c>
      <c r="R25">
        <f t="shared" si="10"/>
        <v>4</v>
      </c>
      <c r="S25">
        <f t="shared" si="11"/>
        <v>4</v>
      </c>
    </row>
    <row r="26" spans="1:19" x14ac:dyDescent="0.25">
      <c r="A26" s="6">
        <v>4</v>
      </c>
      <c r="B26" s="6" t="s">
        <v>167</v>
      </c>
      <c r="C26" s="6" t="s">
        <v>168</v>
      </c>
      <c r="D26" s="6"/>
      <c r="E26" s="6"/>
      <c r="F26" s="20">
        <v>1</v>
      </c>
      <c r="G26" s="20">
        <v>1</v>
      </c>
      <c r="H26" s="20"/>
      <c r="I26" s="20"/>
      <c r="J26" s="20">
        <v>2</v>
      </c>
      <c r="K26" s="20">
        <v>1</v>
      </c>
      <c r="L26" s="20">
        <v>2</v>
      </c>
      <c r="M26" s="20">
        <v>1</v>
      </c>
      <c r="N26" s="6" t="str">
        <f t="shared" si="6"/>
        <v>3t5</v>
      </c>
      <c r="O26" s="6" t="str">
        <f t="shared" si="7"/>
        <v>3b3</v>
      </c>
      <c r="P26">
        <f t="shared" si="8"/>
        <v>3</v>
      </c>
      <c r="Q26">
        <f t="shared" si="9"/>
        <v>3</v>
      </c>
      <c r="R26">
        <f t="shared" si="10"/>
        <v>5</v>
      </c>
      <c r="S26">
        <f t="shared" si="11"/>
        <v>3</v>
      </c>
    </row>
    <row r="27" spans="1:19" x14ac:dyDescent="0.25">
      <c r="A27" s="6">
        <v>5</v>
      </c>
      <c r="B27" s="6" t="s">
        <v>76</v>
      </c>
      <c r="C27" s="6" t="s">
        <v>77</v>
      </c>
      <c r="D27" s="6"/>
      <c r="E27" s="6"/>
      <c r="F27" s="20">
        <v>1</v>
      </c>
      <c r="G27" s="20">
        <v>1</v>
      </c>
      <c r="H27" s="20"/>
      <c r="I27" s="20"/>
      <c r="J27" s="20">
        <v>3</v>
      </c>
      <c r="K27" s="20">
        <v>2</v>
      </c>
      <c r="L27" s="20">
        <v>2</v>
      </c>
      <c r="M27" s="20">
        <v>1</v>
      </c>
      <c r="N27" s="6" t="str">
        <f t="shared" si="6"/>
        <v>3t6</v>
      </c>
      <c r="O27" s="6" t="str">
        <f t="shared" si="7"/>
        <v>3b4</v>
      </c>
      <c r="P27">
        <f t="shared" si="8"/>
        <v>3</v>
      </c>
      <c r="Q27">
        <f t="shared" si="9"/>
        <v>3</v>
      </c>
      <c r="R27">
        <f t="shared" si="10"/>
        <v>6</v>
      </c>
      <c r="S27">
        <f t="shared" si="11"/>
        <v>4</v>
      </c>
    </row>
    <row r="28" spans="1:19" x14ac:dyDescent="0.25">
      <c r="A28" s="6">
        <v>6</v>
      </c>
      <c r="B28" s="6" t="s">
        <v>89</v>
      </c>
      <c r="C28" s="6" t="s">
        <v>451</v>
      </c>
      <c r="D28" s="6"/>
      <c r="E28" s="6"/>
      <c r="F28" s="20">
        <v>1</v>
      </c>
      <c r="G28" s="20">
        <v>1</v>
      </c>
      <c r="H28" s="20"/>
      <c r="I28" s="20"/>
      <c r="J28" s="20"/>
      <c r="K28" s="20">
        <v>1</v>
      </c>
      <c r="L28" s="20">
        <v>1</v>
      </c>
      <c r="M28" s="20">
        <v>1</v>
      </c>
      <c r="N28" s="6" t="str">
        <f t="shared" si="6"/>
        <v>2t2</v>
      </c>
      <c r="O28" s="6" t="str">
        <f t="shared" si="7"/>
        <v>3b3</v>
      </c>
      <c r="P28">
        <f t="shared" si="8"/>
        <v>2</v>
      </c>
      <c r="Q28">
        <f t="shared" si="9"/>
        <v>3</v>
      </c>
      <c r="R28">
        <f t="shared" si="10"/>
        <v>2</v>
      </c>
      <c r="S28">
        <f t="shared" si="11"/>
        <v>3</v>
      </c>
    </row>
    <row r="29" spans="1:19" x14ac:dyDescent="0.25">
      <c r="A29" s="5">
        <v>7</v>
      </c>
      <c r="B29" s="5" t="s">
        <v>113</v>
      </c>
      <c r="C29" s="5" t="s">
        <v>114</v>
      </c>
      <c r="D29" s="5"/>
      <c r="E29" s="5"/>
      <c r="F29" s="17">
        <v>1</v>
      </c>
      <c r="G29" s="17">
        <v>1</v>
      </c>
      <c r="H29" s="17"/>
      <c r="I29" s="17"/>
      <c r="J29" s="17"/>
      <c r="K29" s="17">
        <v>4</v>
      </c>
      <c r="L29" s="17">
        <v>1</v>
      </c>
      <c r="M29" s="17">
        <v>1</v>
      </c>
      <c r="N29" s="5" t="str">
        <f t="shared" si="6"/>
        <v>2t2</v>
      </c>
      <c r="O29" s="5" t="str">
        <f t="shared" si="7"/>
        <v>3b6</v>
      </c>
      <c r="P29">
        <f t="shared" si="8"/>
        <v>2</v>
      </c>
      <c r="Q29">
        <f t="shared" si="9"/>
        <v>3</v>
      </c>
      <c r="R29">
        <f t="shared" si="10"/>
        <v>2</v>
      </c>
      <c r="S29">
        <f t="shared" si="11"/>
        <v>6</v>
      </c>
    </row>
    <row r="30" spans="1:19" x14ac:dyDescent="0.25">
      <c r="A30" s="5">
        <v>8</v>
      </c>
      <c r="B30" s="5" t="s">
        <v>172</v>
      </c>
      <c r="C30" s="5" t="s">
        <v>227</v>
      </c>
      <c r="D30" s="5"/>
      <c r="E30" s="5"/>
      <c r="F30" s="17">
        <v>4</v>
      </c>
      <c r="G30" s="17">
        <v>3</v>
      </c>
      <c r="H30" s="17"/>
      <c r="I30" s="17"/>
      <c r="J30" s="17"/>
      <c r="K30" s="17">
        <v>1</v>
      </c>
      <c r="L30" s="17">
        <v>1</v>
      </c>
      <c r="M30" s="17">
        <v>1</v>
      </c>
      <c r="N30" s="5" t="str">
        <f t="shared" si="6"/>
        <v>2t5</v>
      </c>
      <c r="O30" s="5" t="str">
        <f t="shared" si="7"/>
        <v>3b5</v>
      </c>
      <c r="P30">
        <f t="shared" si="8"/>
        <v>2</v>
      </c>
      <c r="Q30">
        <f t="shared" si="9"/>
        <v>3</v>
      </c>
      <c r="R30">
        <f t="shared" si="10"/>
        <v>5</v>
      </c>
      <c r="S30">
        <f t="shared" si="11"/>
        <v>5</v>
      </c>
    </row>
    <row r="31" spans="1:19" x14ac:dyDescent="0.25">
      <c r="A31" s="5">
        <v>9</v>
      </c>
      <c r="B31" s="5" t="s">
        <v>392</v>
      </c>
      <c r="C31" s="5" t="s">
        <v>446</v>
      </c>
      <c r="D31" s="5"/>
      <c r="E31" s="5"/>
      <c r="F31" s="17">
        <v>5</v>
      </c>
      <c r="G31" s="17">
        <v>1</v>
      </c>
      <c r="H31" s="17"/>
      <c r="I31" s="17"/>
      <c r="J31" s="17"/>
      <c r="K31" s="17">
        <v>2</v>
      </c>
      <c r="L31" s="17">
        <v>1</v>
      </c>
      <c r="M31" s="17">
        <v>1</v>
      </c>
      <c r="N31" s="5" t="str">
        <f t="shared" si="6"/>
        <v>2t6</v>
      </c>
      <c r="O31" s="5" t="str">
        <f t="shared" si="7"/>
        <v>3b4</v>
      </c>
      <c r="P31">
        <f t="shared" si="8"/>
        <v>2</v>
      </c>
      <c r="Q31">
        <f t="shared" si="9"/>
        <v>3</v>
      </c>
      <c r="R31">
        <f t="shared" si="10"/>
        <v>6</v>
      </c>
      <c r="S31">
        <f t="shared" si="11"/>
        <v>4</v>
      </c>
    </row>
    <row r="32" spans="1:19" x14ac:dyDescent="0.25">
      <c r="A32" s="5">
        <v>10</v>
      </c>
      <c r="B32" s="5" t="s">
        <v>445</v>
      </c>
      <c r="C32" s="5" t="s">
        <v>150</v>
      </c>
      <c r="D32" s="5"/>
      <c r="E32" s="5"/>
      <c r="F32" s="17">
        <v>2</v>
      </c>
      <c r="G32" s="17">
        <v>1</v>
      </c>
      <c r="H32" s="17"/>
      <c r="I32" s="17"/>
      <c r="J32" s="17"/>
      <c r="K32" s="17"/>
      <c r="L32" s="17">
        <v>1</v>
      </c>
      <c r="M32" s="17">
        <v>1</v>
      </c>
      <c r="N32" s="5" t="str">
        <f t="shared" si="6"/>
        <v>2t3</v>
      </c>
      <c r="O32" s="5" t="str">
        <f t="shared" si="7"/>
        <v>2b2</v>
      </c>
      <c r="P32">
        <f t="shared" si="8"/>
        <v>2</v>
      </c>
      <c r="Q32">
        <f t="shared" si="9"/>
        <v>2</v>
      </c>
      <c r="R32">
        <f t="shared" si="10"/>
        <v>3</v>
      </c>
      <c r="S32">
        <f t="shared" si="11"/>
        <v>2</v>
      </c>
    </row>
    <row r="33" spans="1:19" x14ac:dyDescent="0.25">
      <c r="A33" s="5">
        <v>11</v>
      </c>
      <c r="B33" s="33" t="s">
        <v>195</v>
      </c>
      <c r="C33" s="33" t="s">
        <v>196</v>
      </c>
      <c r="D33" s="33"/>
      <c r="E33" s="33"/>
      <c r="F33" s="34">
        <v>3</v>
      </c>
      <c r="G33" s="34">
        <v>1</v>
      </c>
      <c r="H33" s="34"/>
      <c r="I33" s="34"/>
      <c r="J33" s="34"/>
      <c r="K33" s="34"/>
      <c r="L33" s="34">
        <v>1</v>
      </c>
      <c r="M33" s="34">
        <v>1</v>
      </c>
      <c r="N33" s="33" t="str">
        <f t="shared" si="6"/>
        <v>2t4</v>
      </c>
      <c r="O33" s="33" t="str">
        <f t="shared" si="7"/>
        <v>2b2</v>
      </c>
      <c r="P33">
        <f t="shared" si="8"/>
        <v>2</v>
      </c>
      <c r="Q33">
        <f t="shared" si="9"/>
        <v>2</v>
      </c>
      <c r="R33">
        <f t="shared" si="10"/>
        <v>4</v>
      </c>
      <c r="S33">
        <f t="shared" si="11"/>
        <v>2</v>
      </c>
    </row>
    <row r="34" spans="1:19" x14ac:dyDescent="0.25">
      <c r="A34" s="5">
        <v>12</v>
      </c>
      <c r="B34" s="33" t="s">
        <v>172</v>
      </c>
      <c r="C34" s="33" t="s">
        <v>442</v>
      </c>
      <c r="D34" s="33"/>
      <c r="E34" s="33"/>
      <c r="F34" s="34">
        <v>1</v>
      </c>
      <c r="G34" s="34">
        <v>1</v>
      </c>
      <c r="H34" s="34"/>
      <c r="I34" s="34"/>
      <c r="J34" s="34"/>
      <c r="K34" s="34">
        <v>1</v>
      </c>
      <c r="L34" s="34"/>
      <c r="M34" s="34">
        <v>1</v>
      </c>
      <c r="N34" s="33" t="str">
        <f t="shared" si="6"/>
        <v>1t1</v>
      </c>
      <c r="O34" s="33" t="str">
        <f t="shared" si="7"/>
        <v>3b3</v>
      </c>
      <c r="P34">
        <f t="shared" si="8"/>
        <v>1</v>
      </c>
      <c r="Q34">
        <f t="shared" si="9"/>
        <v>3</v>
      </c>
      <c r="R34">
        <f t="shared" si="10"/>
        <v>1</v>
      </c>
      <c r="S34">
        <f t="shared" si="11"/>
        <v>3</v>
      </c>
    </row>
    <row r="35" spans="1:19" x14ac:dyDescent="0.25">
      <c r="A35" s="5">
        <v>13</v>
      </c>
      <c r="B35" s="33" t="s">
        <v>236</v>
      </c>
      <c r="C35" s="33" t="s">
        <v>260</v>
      </c>
      <c r="D35" s="33"/>
      <c r="E35" s="33"/>
      <c r="F35" s="34"/>
      <c r="G35" s="34">
        <v>1</v>
      </c>
      <c r="H35" s="34"/>
      <c r="I35" s="34"/>
      <c r="J35" s="34"/>
      <c r="K35" s="34"/>
      <c r="L35" s="34"/>
      <c r="M35" s="34">
        <v>3</v>
      </c>
      <c r="N35" s="33" t="str">
        <f t="shared" si="6"/>
        <v>0t0</v>
      </c>
      <c r="O35" s="33" t="str">
        <f t="shared" si="7"/>
        <v>2b4</v>
      </c>
      <c r="P35">
        <f t="shared" si="8"/>
        <v>0</v>
      </c>
      <c r="Q35">
        <f t="shared" si="9"/>
        <v>2</v>
      </c>
      <c r="R35">
        <f t="shared" si="10"/>
        <v>0</v>
      </c>
      <c r="S35">
        <f t="shared" si="11"/>
        <v>4</v>
      </c>
    </row>
    <row r="36" spans="1:19" x14ac:dyDescent="0.25">
      <c r="A36" s="5">
        <v>14</v>
      </c>
      <c r="B36" s="33"/>
      <c r="C36" s="33"/>
      <c r="D36" s="33"/>
      <c r="E36" s="33"/>
      <c r="F36" s="34"/>
      <c r="G36" s="34"/>
      <c r="H36" s="34"/>
      <c r="I36" s="34"/>
      <c r="J36" s="34"/>
      <c r="K36" s="34"/>
      <c r="L36" s="34"/>
      <c r="M36" s="34"/>
      <c r="N36" s="33" t="str">
        <f t="shared" ref="N36:N38" si="12">COUNT(F36,H36,J36,L36)&amp;"t"&amp;SUM(F36,H36,J36,L36)</f>
        <v>0t0</v>
      </c>
      <c r="O36" s="33" t="str">
        <f t="shared" ref="O36:O38" si="13">COUNT(G36,I36,K36,M36)&amp;"b"&amp;SUM(G36,I36,K36,M36)</f>
        <v>0b0</v>
      </c>
    </row>
    <row r="37" spans="1:19" x14ac:dyDescent="0.25">
      <c r="A37" s="5">
        <v>15</v>
      </c>
      <c r="B37" s="5"/>
      <c r="C37" s="5"/>
      <c r="D37" s="5"/>
      <c r="E37" s="5"/>
      <c r="F37" s="17"/>
      <c r="G37" s="17"/>
      <c r="H37" s="17"/>
      <c r="I37" s="17"/>
      <c r="J37" s="17"/>
      <c r="K37" s="17"/>
      <c r="L37" s="17"/>
      <c r="M37" s="17"/>
      <c r="N37" s="5" t="str">
        <f t="shared" si="12"/>
        <v>0t0</v>
      </c>
      <c r="O37" s="5" t="str">
        <f t="shared" si="13"/>
        <v>0b0</v>
      </c>
    </row>
    <row r="38" spans="1:19" x14ac:dyDescent="0.25">
      <c r="A38" s="5">
        <v>16</v>
      </c>
      <c r="B38" s="5"/>
      <c r="C38" s="5"/>
      <c r="D38" s="5"/>
      <c r="E38" s="5"/>
      <c r="F38" s="17"/>
      <c r="G38" s="17"/>
      <c r="H38" s="17"/>
      <c r="I38" s="17"/>
      <c r="J38" s="17"/>
      <c r="K38" s="17"/>
      <c r="L38" s="17"/>
      <c r="M38" s="17"/>
      <c r="N38" s="5" t="str">
        <f t="shared" si="12"/>
        <v>0t0</v>
      </c>
      <c r="O38" s="5" t="str">
        <f t="shared" si="13"/>
        <v>0b0</v>
      </c>
    </row>
  </sheetData>
  <sortState ref="B4:S19">
    <sortCondition descending="1" ref="P4:P19"/>
    <sortCondition descending="1" ref="Q4:Q19"/>
    <sortCondition ref="R4:R19"/>
    <sortCondition ref="S4:S19"/>
  </sortState>
  <mergeCells count="10">
    <mergeCell ref="F2:G2"/>
    <mergeCell ref="H2:I2"/>
    <mergeCell ref="J2:K2"/>
    <mergeCell ref="L2:M2"/>
    <mergeCell ref="N2:O2"/>
    <mergeCell ref="F21:G21"/>
    <mergeCell ref="H21:I21"/>
    <mergeCell ref="J21:K21"/>
    <mergeCell ref="L21:M21"/>
    <mergeCell ref="N21:O21"/>
  </mergeCells>
  <pageMargins left="0.70866141732283472" right="0.70866141732283472" top="0.74803149606299213" bottom="0.74803149606299213" header="0.31496062992125984" footer="0.31496062992125984"/>
  <pageSetup paperSize="9" scale="7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5"/>
  <sheetViews>
    <sheetView workbookViewId="0">
      <selection activeCell="E30" sqref="E30"/>
    </sheetView>
  </sheetViews>
  <sheetFormatPr defaultRowHeight="15" x14ac:dyDescent="0.25"/>
  <cols>
    <col min="1" max="1" width="4.85546875" customWidth="1"/>
    <col min="2" max="2" width="10.7109375" bestFit="1" customWidth="1"/>
    <col min="3" max="3" width="12.140625" bestFit="1" customWidth="1"/>
    <col min="4" max="4" width="6.28515625" bestFit="1" customWidth="1"/>
    <col min="5" max="5" width="16.140625" bestFit="1" customWidth="1"/>
    <col min="6" max="6" width="6.5703125" customWidth="1"/>
    <col min="7" max="7" width="7" customWidth="1"/>
    <col min="8" max="8" width="6.5703125" customWidth="1"/>
    <col min="9" max="9" width="6.7109375" customWidth="1"/>
    <col min="10" max="10" width="7" customWidth="1"/>
    <col min="11" max="11" width="7.140625" customWidth="1"/>
    <col min="12" max="12" width="6.42578125" customWidth="1"/>
    <col min="13" max="13" width="6.7109375" customWidth="1"/>
    <col min="16" max="16" width="4.85546875" bestFit="1" customWidth="1"/>
    <col min="17" max="17" width="7" bestFit="1" customWidth="1"/>
    <col min="19" max="19" width="11.28515625" bestFit="1" customWidth="1"/>
  </cols>
  <sheetData>
    <row r="2" spans="1:19" x14ac:dyDescent="0.25">
      <c r="A2" s="13" t="s">
        <v>66</v>
      </c>
      <c r="F2" s="36">
        <v>1</v>
      </c>
      <c r="G2" s="36"/>
      <c r="H2" s="36">
        <v>2</v>
      </c>
      <c r="I2" s="36"/>
      <c r="J2" s="36">
        <v>3</v>
      </c>
      <c r="K2" s="36"/>
      <c r="L2" s="36">
        <v>4</v>
      </c>
      <c r="M2" s="36"/>
      <c r="N2" s="36" t="s">
        <v>441</v>
      </c>
      <c r="O2" s="36"/>
    </row>
    <row r="3" spans="1:19" x14ac:dyDescent="0.25">
      <c r="B3" t="s">
        <v>0</v>
      </c>
      <c r="C3" t="s">
        <v>1</v>
      </c>
      <c r="D3" t="s">
        <v>3</v>
      </c>
      <c r="E3" t="s">
        <v>2</v>
      </c>
      <c r="F3" s="14" t="s">
        <v>34</v>
      </c>
      <c r="G3" s="14" t="s">
        <v>35</v>
      </c>
      <c r="H3" s="14" t="s">
        <v>34</v>
      </c>
      <c r="I3" s="14" t="s">
        <v>35</v>
      </c>
      <c r="J3" s="14" t="s">
        <v>34</v>
      </c>
      <c r="K3" s="14" t="s">
        <v>35</v>
      </c>
      <c r="L3" s="14" t="s">
        <v>34</v>
      </c>
      <c r="M3" s="14" t="s">
        <v>35</v>
      </c>
      <c r="N3" s="14" t="s">
        <v>34</v>
      </c>
      <c r="O3" s="14" t="s">
        <v>35</v>
      </c>
      <c r="P3" s="23" t="s">
        <v>447</v>
      </c>
      <c r="Q3" s="23" t="s">
        <v>448</v>
      </c>
      <c r="R3" s="23" t="s">
        <v>449</v>
      </c>
      <c r="S3" s="23" t="s">
        <v>450</v>
      </c>
    </row>
    <row r="4" spans="1:19" x14ac:dyDescent="0.25">
      <c r="A4" s="1">
        <v>1</v>
      </c>
      <c r="B4" s="6" t="s">
        <v>184</v>
      </c>
      <c r="C4" s="6" t="s">
        <v>150</v>
      </c>
      <c r="D4" s="1" t="s">
        <v>100</v>
      </c>
      <c r="E4" s="5"/>
      <c r="F4" s="15">
        <v>1</v>
      </c>
      <c r="G4" s="15">
        <v>1</v>
      </c>
      <c r="H4" s="15">
        <v>1</v>
      </c>
      <c r="I4" s="15">
        <v>1</v>
      </c>
      <c r="J4" s="15">
        <v>3</v>
      </c>
      <c r="K4" s="15">
        <v>1</v>
      </c>
      <c r="L4" s="15">
        <v>1</v>
      </c>
      <c r="M4" s="15">
        <v>1</v>
      </c>
      <c r="N4" s="1" t="str">
        <f t="shared" ref="N4:N9" si="0">COUNT(F4,H4,J4,L4)&amp;"t"&amp;SUM(F4,H4,J4,L4)</f>
        <v>4t6</v>
      </c>
      <c r="O4" s="1" t="str">
        <f t="shared" ref="O4:O9" si="1">COUNT(G4,I4,K4,M4)&amp;"b"&amp;SUM(G4,I4,K4,M4)</f>
        <v>4b4</v>
      </c>
      <c r="P4">
        <f t="shared" ref="P4:Q9" si="2">COUNT(F4,H4,J4,L4)</f>
        <v>4</v>
      </c>
      <c r="Q4">
        <f t="shared" si="2"/>
        <v>4</v>
      </c>
      <c r="R4">
        <f t="shared" ref="R4:S9" si="3">SUM(F4,H4,J4,L4)</f>
        <v>6</v>
      </c>
      <c r="S4">
        <f t="shared" si="3"/>
        <v>4</v>
      </c>
    </row>
    <row r="5" spans="1:19" x14ac:dyDescent="0.25">
      <c r="A5" s="1">
        <v>2</v>
      </c>
      <c r="B5" s="6" t="s">
        <v>179</v>
      </c>
      <c r="C5" s="6" t="s">
        <v>180</v>
      </c>
      <c r="D5" s="1" t="s">
        <v>100</v>
      </c>
      <c r="E5" s="5"/>
      <c r="F5" s="15">
        <v>2</v>
      </c>
      <c r="G5" s="15">
        <v>2</v>
      </c>
      <c r="H5" s="15">
        <v>1</v>
      </c>
      <c r="I5" s="15">
        <v>1</v>
      </c>
      <c r="J5" s="15">
        <v>2</v>
      </c>
      <c r="K5" s="15">
        <v>1</v>
      </c>
      <c r="L5" s="15">
        <v>1</v>
      </c>
      <c r="M5" s="15">
        <v>1</v>
      </c>
      <c r="N5" s="1" t="str">
        <f t="shared" si="0"/>
        <v>4t6</v>
      </c>
      <c r="O5" s="1" t="str">
        <f t="shared" si="1"/>
        <v>4b5</v>
      </c>
      <c r="P5">
        <f t="shared" si="2"/>
        <v>4</v>
      </c>
      <c r="Q5">
        <f t="shared" si="2"/>
        <v>4</v>
      </c>
      <c r="R5">
        <f t="shared" si="3"/>
        <v>6</v>
      </c>
      <c r="S5">
        <f t="shared" si="3"/>
        <v>5</v>
      </c>
    </row>
    <row r="6" spans="1:19" x14ac:dyDescent="0.25">
      <c r="A6" s="1">
        <v>3</v>
      </c>
      <c r="B6" s="6" t="s">
        <v>360</v>
      </c>
      <c r="C6" s="6" t="s">
        <v>361</v>
      </c>
      <c r="D6" s="1" t="s">
        <v>100</v>
      </c>
      <c r="E6" s="5"/>
      <c r="F6" s="15">
        <v>5</v>
      </c>
      <c r="G6" s="15">
        <v>4</v>
      </c>
      <c r="H6" s="15">
        <v>1</v>
      </c>
      <c r="I6" s="15">
        <v>1</v>
      </c>
      <c r="J6" s="15">
        <v>1</v>
      </c>
      <c r="K6" s="15">
        <v>1</v>
      </c>
      <c r="L6" s="15">
        <v>1</v>
      </c>
      <c r="M6" s="15">
        <v>1</v>
      </c>
      <c r="N6" s="1" t="str">
        <f t="shared" si="0"/>
        <v>4t8</v>
      </c>
      <c r="O6" s="1" t="str">
        <f t="shared" si="1"/>
        <v>4b7</v>
      </c>
      <c r="P6">
        <f t="shared" si="2"/>
        <v>4</v>
      </c>
      <c r="Q6">
        <f t="shared" si="2"/>
        <v>4</v>
      </c>
      <c r="R6">
        <f t="shared" si="3"/>
        <v>8</v>
      </c>
      <c r="S6">
        <f t="shared" si="3"/>
        <v>7</v>
      </c>
    </row>
    <row r="7" spans="1:19" x14ac:dyDescent="0.25">
      <c r="A7" s="1">
        <v>4</v>
      </c>
      <c r="B7" s="6" t="s">
        <v>182</v>
      </c>
      <c r="C7" s="6" t="s">
        <v>183</v>
      </c>
      <c r="D7" s="1" t="s">
        <v>100</v>
      </c>
      <c r="E7" s="5"/>
      <c r="F7" s="15">
        <v>1</v>
      </c>
      <c r="G7" s="15">
        <v>1</v>
      </c>
      <c r="H7" s="15">
        <v>2</v>
      </c>
      <c r="I7" s="15">
        <v>2</v>
      </c>
      <c r="J7" s="15"/>
      <c r="K7" s="15">
        <v>2</v>
      </c>
      <c r="L7" s="15">
        <v>1</v>
      </c>
      <c r="M7" s="15">
        <v>1</v>
      </c>
      <c r="N7" s="1" t="str">
        <f t="shared" si="0"/>
        <v>3t4</v>
      </c>
      <c r="O7" s="1" t="str">
        <f t="shared" si="1"/>
        <v>4b6</v>
      </c>
      <c r="P7">
        <f t="shared" si="2"/>
        <v>3</v>
      </c>
      <c r="Q7">
        <f t="shared" si="2"/>
        <v>4</v>
      </c>
      <c r="R7">
        <f t="shared" si="3"/>
        <v>4</v>
      </c>
      <c r="S7">
        <f t="shared" si="3"/>
        <v>6</v>
      </c>
    </row>
    <row r="8" spans="1:19" x14ac:dyDescent="0.25">
      <c r="A8" s="1">
        <v>5</v>
      </c>
      <c r="B8" s="6" t="s">
        <v>319</v>
      </c>
      <c r="C8" s="6" t="s">
        <v>320</v>
      </c>
      <c r="D8" s="1" t="s">
        <v>100</v>
      </c>
      <c r="E8" s="5"/>
      <c r="F8" s="15">
        <v>2</v>
      </c>
      <c r="G8" s="15">
        <v>1</v>
      </c>
      <c r="H8" s="15">
        <v>1</v>
      </c>
      <c r="I8" s="15">
        <v>1</v>
      </c>
      <c r="J8" s="15"/>
      <c r="K8" s="15">
        <v>1</v>
      </c>
      <c r="L8" s="15">
        <v>2</v>
      </c>
      <c r="M8" s="15">
        <v>2</v>
      </c>
      <c r="N8" s="1" t="str">
        <f t="shared" si="0"/>
        <v>3t5</v>
      </c>
      <c r="O8" s="1" t="str">
        <f t="shared" si="1"/>
        <v>4b5</v>
      </c>
      <c r="P8">
        <f t="shared" si="2"/>
        <v>3</v>
      </c>
      <c r="Q8">
        <f t="shared" si="2"/>
        <v>4</v>
      </c>
      <c r="R8">
        <f t="shared" si="3"/>
        <v>5</v>
      </c>
      <c r="S8">
        <f t="shared" si="3"/>
        <v>5</v>
      </c>
    </row>
    <row r="9" spans="1:19" x14ac:dyDescent="0.25">
      <c r="A9" s="1">
        <v>6</v>
      </c>
      <c r="B9" s="6" t="s">
        <v>317</v>
      </c>
      <c r="C9" s="6" t="s">
        <v>318</v>
      </c>
      <c r="D9" s="1" t="s">
        <v>87</v>
      </c>
      <c r="E9" s="5"/>
      <c r="F9" s="15"/>
      <c r="G9" s="15">
        <v>6</v>
      </c>
      <c r="H9" s="15">
        <v>1</v>
      </c>
      <c r="I9" s="15">
        <v>1</v>
      </c>
      <c r="J9" s="15"/>
      <c r="K9" s="15">
        <v>1</v>
      </c>
      <c r="L9" s="15">
        <v>1</v>
      </c>
      <c r="M9" s="15">
        <v>1</v>
      </c>
      <c r="N9" s="1" t="str">
        <f t="shared" si="0"/>
        <v>2t2</v>
      </c>
      <c r="O9" s="1" t="str">
        <f t="shared" si="1"/>
        <v>4b9</v>
      </c>
      <c r="P9">
        <f t="shared" si="2"/>
        <v>2</v>
      </c>
      <c r="Q9">
        <f t="shared" si="2"/>
        <v>4</v>
      </c>
      <c r="R9">
        <f t="shared" si="3"/>
        <v>2</v>
      </c>
      <c r="S9">
        <f t="shared" si="3"/>
        <v>9</v>
      </c>
    </row>
    <row r="10" spans="1:19" x14ac:dyDescent="0.25">
      <c r="A10" s="7"/>
      <c r="B10" s="8"/>
      <c r="C10" s="8"/>
      <c r="D10" s="8"/>
      <c r="E10" s="8"/>
      <c r="F10" s="16"/>
      <c r="G10" s="16"/>
      <c r="H10" s="16"/>
      <c r="I10" s="16"/>
      <c r="J10" s="16"/>
      <c r="K10" s="16"/>
      <c r="L10" s="16"/>
      <c r="M10" s="16"/>
      <c r="N10" s="7"/>
      <c r="O10" s="7"/>
    </row>
    <row r="11" spans="1:19" x14ac:dyDescent="0.25">
      <c r="A11" s="13" t="s">
        <v>67</v>
      </c>
      <c r="F11" s="36">
        <v>1</v>
      </c>
      <c r="G11" s="36"/>
      <c r="H11" s="36">
        <v>2</v>
      </c>
      <c r="I11" s="36"/>
      <c r="J11" s="36">
        <v>3</v>
      </c>
      <c r="K11" s="36"/>
      <c r="L11" s="36">
        <v>4</v>
      </c>
      <c r="M11" s="36"/>
      <c r="N11" s="36" t="s">
        <v>441</v>
      </c>
      <c r="O11" s="36"/>
    </row>
    <row r="12" spans="1:19" x14ac:dyDescent="0.25">
      <c r="B12" t="s">
        <v>0</v>
      </c>
      <c r="C12" t="s">
        <v>1</v>
      </c>
      <c r="D12" t="s">
        <v>3</v>
      </c>
      <c r="E12" t="s">
        <v>2</v>
      </c>
      <c r="F12" s="14" t="s">
        <v>34</v>
      </c>
      <c r="G12" s="14" t="s">
        <v>35</v>
      </c>
      <c r="H12" s="14" t="s">
        <v>34</v>
      </c>
      <c r="I12" s="14" t="s">
        <v>35</v>
      </c>
      <c r="J12" s="14" t="s">
        <v>34</v>
      </c>
      <c r="K12" s="14" t="s">
        <v>35</v>
      </c>
      <c r="L12" s="14" t="s">
        <v>34</v>
      </c>
      <c r="M12" s="14" t="s">
        <v>35</v>
      </c>
      <c r="N12" s="14" t="s">
        <v>34</v>
      </c>
      <c r="O12" s="14" t="s">
        <v>35</v>
      </c>
      <c r="P12" s="23" t="s">
        <v>447</v>
      </c>
      <c r="Q12" s="23" t="s">
        <v>448</v>
      </c>
      <c r="R12" s="23" t="s">
        <v>449</v>
      </c>
      <c r="S12" s="23" t="s">
        <v>450</v>
      </c>
    </row>
    <row r="13" spans="1:19" x14ac:dyDescent="0.25">
      <c r="A13" s="5">
        <v>1</v>
      </c>
      <c r="B13" s="6" t="s">
        <v>215</v>
      </c>
      <c r="C13" s="6" t="s">
        <v>216</v>
      </c>
      <c r="D13" s="1" t="s">
        <v>100</v>
      </c>
      <c r="E13" s="5"/>
      <c r="F13" s="17"/>
      <c r="G13" s="17">
        <v>1</v>
      </c>
      <c r="H13" s="17">
        <v>2</v>
      </c>
      <c r="I13" s="17">
        <v>1</v>
      </c>
      <c r="J13" s="17"/>
      <c r="K13" s="17"/>
      <c r="L13" s="17"/>
      <c r="M13" s="17"/>
      <c r="N13" s="5" t="str">
        <f>COUNT(F13,H13,J13,L13)&amp;"t"&amp;SUM(F13,H13,J13,L13)</f>
        <v>1t2</v>
      </c>
      <c r="O13" s="5" t="str">
        <f>COUNT(G13,I13,K13,M13)&amp;"b"&amp;SUM(G13,I13,K13,M13)</f>
        <v>2b2</v>
      </c>
      <c r="P13">
        <f t="shared" ref="P13:Q17" si="4">COUNT(F13,H13,J13,L13)</f>
        <v>1</v>
      </c>
      <c r="Q13">
        <f t="shared" si="4"/>
        <v>2</v>
      </c>
      <c r="R13">
        <f t="shared" ref="R13:S17" si="5">SUM(F13,H13,J13,L13)</f>
        <v>2</v>
      </c>
      <c r="S13">
        <f t="shared" si="5"/>
        <v>2</v>
      </c>
    </row>
    <row r="14" spans="1:19" x14ac:dyDescent="0.25">
      <c r="A14" s="5">
        <v>2</v>
      </c>
      <c r="B14" s="6" t="s">
        <v>205</v>
      </c>
      <c r="C14" s="6" t="s">
        <v>206</v>
      </c>
      <c r="D14" s="1" t="s">
        <v>87</v>
      </c>
      <c r="E14" s="5"/>
      <c r="F14" s="17"/>
      <c r="G14" s="17">
        <v>1</v>
      </c>
      <c r="H14" s="17">
        <v>2</v>
      </c>
      <c r="I14" s="17">
        <v>1</v>
      </c>
      <c r="J14" s="17"/>
      <c r="K14" s="17"/>
      <c r="L14" s="17"/>
      <c r="M14" s="17"/>
      <c r="N14" s="5" t="str">
        <f>COUNT(F14,H14,J14,L14)&amp;"t"&amp;SUM(F14,H14,J14,L14)</f>
        <v>1t2</v>
      </c>
      <c r="O14" s="5" t="str">
        <f>COUNT(G14,I14,K14,M14)&amp;"b"&amp;SUM(G14,I14,K14,M14)</f>
        <v>2b2</v>
      </c>
      <c r="P14">
        <f t="shared" si="4"/>
        <v>1</v>
      </c>
      <c r="Q14">
        <f t="shared" si="4"/>
        <v>2</v>
      </c>
      <c r="R14">
        <f t="shared" si="5"/>
        <v>2</v>
      </c>
      <c r="S14">
        <f t="shared" si="5"/>
        <v>2</v>
      </c>
    </row>
    <row r="15" spans="1:19" x14ac:dyDescent="0.25">
      <c r="A15" s="5">
        <v>3</v>
      </c>
      <c r="B15" s="6" t="s">
        <v>199</v>
      </c>
      <c r="C15" s="6" t="s">
        <v>200</v>
      </c>
      <c r="D15" s="1" t="s">
        <v>100</v>
      </c>
      <c r="E15" s="5"/>
      <c r="F15" s="17"/>
      <c r="G15" s="17">
        <v>1</v>
      </c>
      <c r="H15" s="17">
        <v>2</v>
      </c>
      <c r="I15" s="17">
        <v>1</v>
      </c>
      <c r="J15" s="17"/>
      <c r="K15" s="17"/>
      <c r="L15" s="17"/>
      <c r="M15" s="17"/>
      <c r="N15" s="5" t="str">
        <f>COUNT(F15,H15,J15,L15)&amp;"t"&amp;SUM(F15,H15,J15,L15)</f>
        <v>1t2</v>
      </c>
      <c r="O15" s="5" t="str">
        <f>COUNT(G15,I15,K15,M15)&amp;"b"&amp;SUM(G15,I15,K15,M15)</f>
        <v>2b2</v>
      </c>
      <c r="P15">
        <f t="shared" si="4"/>
        <v>1</v>
      </c>
      <c r="Q15">
        <f t="shared" si="4"/>
        <v>2</v>
      </c>
      <c r="R15">
        <f t="shared" si="5"/>
        <v>2</v>
      </c>
      <c r="S15">
        <f t="shared" si="5"/>
        <v>2</v>
      </c>
    </row>
    <row r="16" spans="1:19" x14ac:dyDescent="0.25">
      <c r="A16" s="5">
        <v>4</v>
      </c>
      <c r="B16" s="6" t="s">
        <v>116</v>
      </c>
      <c r="C16" s="6" t="s">
        <v>117</v>
      </c>
      <c r="D16" s="1" t="s">
        <v>118</v>
      </c>
      <c r="E16" s="5"/>
      <c r="F16" s="17"/>
      <c r="G16" s="17">
        <v>1</v>
      </c>
      <c r="H16" s="17"/>
      <c r="I16" s="17">
        <v>1</v>
      </c>
      <c r="J16" s="17"/>
      <c r="K16" s="17"/>
      <c r="L16" s="17"/>
      <c r="M16" s="17">
        <v>3</v>
      </c>
      <c r="N16" s="5" t="str">
        <f>COUNT(F16,H16,J16,L16)&amp;"t"&amp;SUM(F16,H16,J16,L16)</f>
        <v>0t0</v>
      </c>
      <c r="O16" s="5" t="str">
        <f>COUNT(G16,I16,K16,M16)&amp;"b"&amp;SUM(G16,I16,K16,M16)</f>
        <v>3b5</v>
      </c>
      <c r="P16">
        <f t="shared" si="4"/>
        <v>0</v>
      </c>
      <c r="Q16">
        <f t="shared" si="4"/>
        <v>3</v>
      </c>
      <c r="R16">
        <f t="shared" si="5"/>
        <v>0</v>
      </c>
      <c r="S16">
        <f t="shared" si="5"/>
        <v>5</v>
      </c>
    </row>
    <row r="17" spans="1:19" x14ac:dyDescent="0.25">
      <c r="A17" s="5">
        <v>5</v>
      </c>
      <c r="B17" s="6" t="s">
        <v>134</v>
      </c>
      <c r="C17" s="6" t="s">
        <v>413</v>
      </c>
      <c r="D17" s="1" t="s">
        <v>100</v>
      </c>
      <c r="E17" s="5"/>
      <c r="F17" s="17"/>
      <c r="G17" s="17">
        <v>1</v>
      </c>
      <c r="H17" s="17"/>
      <c r="I17" s="17">
        <v>3</v>
      </c>
      <c r="J17" s="17"/>
      <c r="K17" s="17"/>
      <c r="L17" s="17"/>
      <c r="M17" s="17"/>
      <c r="N17" s="5" t="str">
        <f>COUNT(F17,H17,J17,L17)&amp;"t"&amp;SUM(F17,H17,J17,L17)</f>
        <v>0t0</v>
      </c>
      <c r="O17" s="5" t="str">
        <f>COUNT(G17,I17,K17,M17)&amp;"b"&amp;SUM(G17,I17,K17,M17)</f>
        <v>2b4</v>
      </c>
      <c r="P17">
        <f t="shared" si="4"/>
        <v>0</v>
      </c>
      <c r="Q17">
        <f t="shared" si="4"/>
        <v>2</v>
      </c>
      <c r="R17">
        <f t="shared" si="5"/>
        <v>0</v>
      </c>
      <c r="S17">
        <f t="shared" si="5"/>
        <v>4</v>
      </c>
    </row>
    <row r="19" spans="1:19" x14ac:dyDescent="0.25">
      <c r="A19" s="13" t="s">
        <v>64</v>
      </c>
      <c r="F19" s="36">
        <v>1</v>
      </c>
      <c r="G19" s="36"/>
      <c r="H19" s="36">
        <v>2</v>
      </c>
      <c r="I19" s="36"/>
      <c r="J19" s="36">
        <v>3</v>
      </c>
      <c r="K19" s="36"/>
      <c r="L19" s="36">
        <v>4</v>
      </c>
      <c r="M19" s="36"/>
      <c r="N19" s="36" t="s">
        <v>441</v>
      </c>
      <c r="O19" s="36"/>
    </row>
    <row r="20" spans="1:19" x14ac:dyDescent="0.25">
      <c r="B20" t="s">
        <v>0</v>
      </c>
      <c r="C20" t="s">
        <v>1</v>
      </c>
      <c r="D20" t="s">
        <v>3</v>
      </c>
      <c r="E20" t="s">
        <v>2</v>
      </c>
      <c r="F20" s="21" t="s">
        <v>34</v>
      </c>
      <c r="G20" s="21" t="s">
        <v>35</v>
      </c>
      <c r="H20" s="21" t="s">
        <v>34</v>
      </c>
      <c r="I20" s="21" t="s">
        <v>35</v>
      </c>
      <c r="J20" s="21" t="s">
        <v>34</v>
      </c>
      <c r="K20" s="21" t="s">
        <v>35</v>
      </c>
      <c r="L20" s="21" t="s">
        <v>34</v>
      </c>
      <c r="M20" s="21" t="s">
        <v>35</v>
      </c>
      <c r="N20" s="21" t="s">
        <v>34</v>
      </c>
      <c r="O20" s="21" t="s">
        <v>35</v>
      </c>
      <c r="P20" s="23" t="s">
        <v>447</v>
      </c>
      <c r="Q20" s="23" t="s">
        <v>448</v>
      </c>
      <c r="R20" s="23" t="s">
        <v>449</v>
      </c>
      <c r="S20" s="23" t="s">
        <v>450</v>
      </c>
    </row>
    <row r="21" spans="1:19" x14ac:dyDescent="0.25">
      <c r="A21" s="1">
        <v>1</v>
      </c>
      <c r="B21" s="6" t="s">
        <v>152</v>
      </c>
      <c r="C21" s="6" t="s">
        <v>444</v>
      </c>
      <c r="D21" s="5" t="s">
        <v>118</v>
      </c>
      <c r="E21" s="5"/>
      <c r="F21" s="15">
        <v>3</v>
      </c>
      <c r="G21" s="15">
        <v>1</v>
      </c>
      <c r="H21" s="15">
        <v>1</v>
      </c>
      <c r="I21" s="15">
        <v>1</v>
      </c>
      <c r="J21" s="15">
        <v>2</v>
      </c>
      <c r="K21" s="15">
        <v>1</v>
      </c>
      <c r="L21" s="15">
        <v>1</v>
      </c>
      <c r="M21" s="15">
        <v>1</v>
      </c>
      <c r="N21" s="1" t="str">
        <f t="shared" ref="N21:N26" si="6">COUNT(F21,H21,J21,L21)&amp;"t"&amp;SUM(F21,H21,J21,L21)</f>
        <v>4t7</v>
      </c>
      <c r="O21" s="1" t="str">
        <f t="shared" ref="O21:O26" si="7">COUNT(G21,I21,K21,M21)&amp;"b"&amp;SUM(G21,I21,K21,M21)</f>
        <v>4b4</v>
      </c>
      <c r="P21">
        <f t="shared" ref="P21:Q26" si="8">COUNT(F21,H21,J21,L21)</f>
        <v>4</v>
      </c>
      <c r="Q21">
        <f t="shared" si="8"/>
        <v>4</v>
      </c>
      <c r="R21">
        <f t="shared" ref="R21:S26" si="9">SUM(F21,H21,J21,L21)</f>
        <v>7</v>
      </c>
      <c r="S21">
        <f t="shared" si="9"/>
        <v>4</v>
      </c>
    </row>
    <row r="22" spans="1:19" x14ac:dyDescent="0.25">
      <c r="A22" s="1">
        <v>2</v>
      </c>
      <c r="B22" s="6" t="s">
        <v>167</v>
      </c>
      <c r="C22" s="6" t="s">
        <v>168</v>
      </c>
      <c r="D22" s="5" t="s">
        <v>80</v>
      </c>
      <c r="E22" s="5"/>
      <c r="F22" s="15">
        <v>2</v>
      </c>
      <c r="G22" s="15">
        <v>2</v>
      </c>
      <c r="H22" s="15">
        <v>3</v>
      </c>
      <c r="I22" s="15">
        <v>3</v>
      </c>
      <c r="J22" s="15"/>
      <c r="K22" s="15">
        <v>1</v>
      </c>
      <c r="L22" s="15">
        <v>2</v>
      </c>
      <c r="M22" s="15">
        <v>2</v>
      </c>
      <c r="N22" s="1" t="str">
        <f t="shared" si="6"/>
        <v>3t7</v>
      </c>
      <c r="O22" s="1" t="str">
        <f t="shared" si="7"/>
        <v>4b8</v>
      </c>
      <c r="P22">
        <f t="shared" si="8"/>
        <v>3</v>
      </c>
      <c r="Q22">
        <f t="shared" si="8"/>
        <v>4</v>
      </c>
      <c r="R22">
        <f t="shared" si="9"/>
        <v>7</v>
      </c>
      <c r="S22">
        <f t="shared" si="9"/>
        <v>8</v>
      </c>
    </row>
    <row r="23" spans="1:19" x14ac:dyDescent="0.25">
      <c r="A23" s="1">
        <v>3</v>
      </c>
      <c r="B23" s="6" t="s">
        <v>89</v>
      </c>
      <c r="C23" s="6" t="s">
        <v>451</v>
      </c>
      <c r="D23" s="5" t="s">
        <v>91</v>
      </c>
      <c r="E23" s="5"/>
      <c r="F23" s="15">
        <v>2</v>
      </c>
      <c r="G23" s="15">
        <v>2</v>
      </c>
      <c r="H23" s="15">
        <v>2</v>
      </c>
      <c r="I23" s="15">
        <v>2</v>
      </c>
      <c r="J23" s="15"/>
      <c r="K23" s="15">
        <v>1</v>
      </c>
      <c r="L23" s="15">
        <v>3</v>
      </c>
      <c r="M23" s="15">
        <v>3</v>
      </c>
      <c r="N23" s="1" t="str">
        <f t="shared" si="6"/>
        <v>3t7</v>
      </c>
      <c r="O23" s="1" t="str">
        <f t="shared" si="7"/>
        <v>4b8</v>
      </c>
      <c r="P23">
        <f t="shared" si="8"/>
        <v>3</v>
      </c>
      <c r="Q23">
        <f t="shared" si="8"/>
        <v>4</v>
      </c>
      <c r="R23">
        <f t="shared" si="9"/>
        <v>7</v>
      </c>
      <c r="S23">
        <f t="shared" si="9"/>
        <v>8</v>
      </c>
    </row>
    <row r="24" spans="1:19" x14ac:dyDescent="0.25">
      <c r="A24" s="1">
        <v>4</v>
      </c>
      <c r="B24" s="6" t="s">
        <v>76</v>
      </c>
      <c r="C24" s="6" t="s">
        <v>77</v>
      </c>
      <c r="D24" s="5" t="s">
        <v>80</v>
      </c>
      <c r="E24" s="5"/>
      <c r="F24" s="15">
        <v>1</v>
      </c>
      <c r="G24" s="15">
        <v>1</v>
      </c>
      <c r="H24" s="15">
        <v>2</v>
      </c>
      <c r="I24" s="15">
        <v>1</v>
      </c>
      <c r="J24" s="15">
        <v>2</v>
      </c>
      <c r="K24" s="15">
        <v>1</v>
      </c>
      <c r="L24" s="15"/>
      <c r="M24" s="15"/>
      <c r="N24" s="1" t="str">
        <f t="shared" si="6"/>
        <v>3t5</v>
      </c>
      <c r="O24" s="1" t="str">
        <f t="shared" si="7"/>
        <v>3b3</v>
      </c>
      <c r="P24">
        <f t="shared" si="8"/>
        <v>3</v>
      </c>
      <c r="Q24">
        <f t="shared" si="8"/>
        <v>3</v>
      </c>
      <c r="R24">
        <f t="shared" si="9"/>
        <v>5</v>
      </c>
      <c r="S24">
        <f t="shared" si="9"/>
        <v>3</v>
      </c>
    </row>
    <row r="25" spans="1:19" x14ac:dyDescent="0.25">
      <c r="A25" s="1">
        <v>5</v>
      </c>
      <c r="B25" s="6" t="s">
        <v>244</v>
      </c>
      <c r="C25" s="6" t="s">
        <v>245</v>
      </c>
      <c r="D25" s="5" t="s">
        <v>100</v>
      </c>
      <c r="E25" s="5"/>
      <c r="F25" s="15">
        <v>2</v>
      </c>
      <c r="G25" s="15">
        <v>2</v>
      </c>
      <c r="H25" s="15">
        <v>6</v>
      </c>
      <c r="I25" s="15">
        <v>6</v>
      </c>
      <c r="J25" s="15">
        <v>2</v>
      </c>
      <c r="K25" s="15">
        <v>2</v>
      </c>
      <c r="L25" s="15"/>
      <c r="M25" s="15"/>
      <c r="N25" s="1" t="str">
        <f t="shared" si="6"/>
        <v>3t10</v>
      </c>
      <c r="O25" s="1" t="str">
        <f t="shared" si="7"/>
        <v>3b10</v>
      </c>
      <c r="P25">
        <f t="shared" si="8"/>
        <v>3</v>
      </c>
      <c r="Q25">
        <f t="shared" si="8"/>
        <v>3</v>
      </c>
      <c r="R25">
        <f t="shared" si="9"/>
        <v>10</v>
      </c>
      <c r="S25">
        <f t="shared" si="9"/>
        <v>10</v>
      </c>
    </row>
    <row r="26" spans="1:19" x14ac:dyDescent="0.25">
      <c r="A26" s="1">
        <v>6</v>
      </c>
      <c r="B26" s="6" t="s">
        <v>156</v>
      </c>
      <c r="C26" s="6" t="s">
        <v>443</v>
      </c>
      <c r="D26" s="5" t="s">
        <v>80</v>
      </c>
      <c r="E26" s="5"/>
      <c r="F26" s="15">
        <v>1</v>
      </c>
      <c r="G26" s="15">
        <v>1</v>
      </c>
      <c r="H26" s="15"/>
      <c r="I26" s="15"/>
      <c r="J26" s="15"/>
      <c r="K26" s="15"/>
      <c r="L26" s="15"/>
      <c r="M26" s="15"/>
      <c r="N26" s="1" t="str">
        <f t="shared" si="6"/>
        <v>1t1</v>
      </c>
      <c r="O26" s="1" t="str">
        <f t="shared" si="7"/>
        <v>1b1</v>
      </c>
      <c r="P26">
        <f t="shared" si="8"/>
        <v>1</v>
      </c>
      <c r="Q26">
        <f t="shared" si="8"/>
        <v>1</v>
      </c>
      <c r="R26">
        <f t="shared" si="9"/>
        <v>1</v>
      </c>
      <c r="S26">
        <f t="shared" si="9"/>
        <v>1</v>
      </c>
    </row>
    <row r="27" spans="1:19" x14ac:dyDescent="0.25">
      <c r="A27" s="7"/>
      <c r="B27" s="8"/>
      <c r="C27" s="8"/>
      <c r="D27" s="8"/>
      <c r="E27" s="8"/>
      <c r="F27" s="16"/>
      <c r="G27" s="16"/>
      <c r="H27" s="16"/>
      <c r="I27" s="16"/>
      <c r="J27" s="16"/>
      <c r="K27" s="16"/>
      <c r="L27" s="16"/>
      <c r="M27" s="16"/>
      <c r="N27" s="7"/>
      <c r="O27" s="7"/>
    </row>
    <row r="28" spans="1:19" x14ac:dyDescent="0.25">
      <c r="A28" s="13" t="s">
        <v>65</v>
      </c>
      <c r="F28" s="36">
        <v>1</v>
      </c>
      <c r="G28" s="36"/>
      <c r="H28" s="36">
        <v>2</v>
      </c>
      <c r="I28" s="36"/>
      <c r="J28" s="36">
        <v>3</v>
      </c>
      <c r="K28" s="36"/>
      <c r="L28" s="36">
        <v>4</v>
      </c>
      <c r="M28" s="36"/>
      <c r="N28" s="36" t="s">
        <v>441</v>
      </c>
      <c r="O28" s="36"/>
    </row>
    <row r="29" spans="1:19" x14ac:dyDescent="0.25">
      <c r="B29" t="s">
        <v>0</v>
      </c>
      <c r="C29" t="s">
        <v>1</v>
      </c>
      <c r="D29" t="s">
        <v>3</v>
      </c>
      <c r="E29" t="s">
        <v>2</v>
      </c>
      <c r="F29" s="21" t="s">
        <v>34</v>
      </c>
      <c r="G29" s="21" t="s">
        <v>35</v>
      </c>
      <c r="H29" s="21" t="s">
        <v>34</v>
      </c>
      <c r="I29" s="21" t="s">
        <v>35</v>
      </c>
      <c r="J29" s="21" t="s">
        <v>34</v>
      </c>
      <c r="K29" s="21" t="s">
        <v>35</v>
      </c>
      <c r="L29" s="21" t="s">
        <v>34</v>
      </c>
      <c r="M29" s="21" t="s">
        <v>35</v>
      </c>
      <c r="N29" s="21" t="s">
        <v>34</v>
      </c>
      <c r="O29" s="21" t="s">
        <v>35</v>
      </c>
      <c r="P29" s="23" t="s">
        <v>447</v>
      </c>
      <c r="Q29" s="23" t="s">
        <v>448</v>
      </c>
      <c r="R29" s="23" t="s">
        <v>449</v>
      </c>
      <c r="S29" s="23" t="s">
        <v>450</v>
      </c>
    </row>
    <row r="30" spans="1:19" x14ac:dyDescent="0.25">
      <c r="A30" s="5">
        <v>1</v>
      </c>
      <c r="B30" s="6" t="s">
        <v>170</v>
      </c>
      <c r="C30" s="6" t="s">
        <v>171</v>
      </c>
      <c r="D30" s="33" t="s">
        <v>80</v>
      </c>
      <c r="E30" s="33" t="s">
        <v>82</v>
      </c>
      <c r="F30" s="17">
        <v>2</v>
      </c>
      <c r="G30" s="17">
        <v>1</v>
      </c>
      <c r="H30" s="17">
        <v>1</v>
      </c>
      <c r="I30" s="17">
        <v>1</v>
      </c>
      <c r="J30" s="17"/>
      <c r="K30" s="17"/>
      <c r="L30" s="17">
        <v>1</v>
      </c>
      <c r="M30" s="17">
        <v>1</v>
      </c>
      <c r="N30" s="5" t="str">
        <f t="shared" ref="N30:N35" si="10">COUNT(F30,H30,J30,L30)&amp;"t"&amp;SUM(F30,H30,J30,L30)</f>
        <v>3t4</v>
      </c>
      <c r="O30" s="5" t="str">
        <f t="shared" ref="O30:O35" si="11">COUNT(G30,I30,K30,M30)&amp;"b"&amp;SUM(G30,I30,K30,M30)</f>
        <v>3b3</v>
      </c>
      <c r="P30">
        <f t="shared" ref="P30:Q35" si="12">COUNT(F30,H30,J30,L30)</f>
        <v>3</v>
      </c>
      <c r="Q30">
        <f t="shared" si="12"/>
        <v>3</v>
      </c>
      <c r="R30">
        <f t="shared" ref="R30:S35" si="13">SUM(F30,H30,J30,L30)</f>
        <v>4</v>
      </c>
      <c r="S30">
        <f t="shared" si="13"/>
        <v>3</v>
      </c>
    </row>
    <row r="31" spans="1:19" x14ac:dyDescent="0.25">
      <c r="A31" s="5">
        <v>2</v>
      </c>
      <c r="B31" s="6" t="s">
        <v>431</v>
      </c>
      <c r="C31" s="6" t="s">
        <v>145</v>
      </c>
      <c r="D31" s="33" t="s">
        <v>80</v>
      </c>
      <c r="E31" s="33"/>
      <c r="F31" s="17">
        <v>2</v>
      </c>
      <c r="G31" s="17">
        <v>1</v>
      </c>
      <c r="H31" s="17">
        <v>1</v>
      </c>
      <c r="I31" s="17">
        <v>1</v>
      </c>
      <c r="J31" s="17"/>
      <c r="K31" s="17"/>
      <c r="L31" s="17">
        <v>2</v>
      </c>
      <c r="M31" s="17">
        <v>2</v>
      </c>
      <c r="N31" s="5" t="str">
        <f t="shared" si="10"/>
        <v>3t5</v>
      </c>
      <c r="O31" s="5" t="str">
        <f t="shared" si="11"/>
        <v>3b4</v>
      </c>
      <c r="P31">
        <f t="shared" si="12"/>
        <v>3</v>
      </c>
      <c r="Q31">
        <f t="shared" si="12"/>
        <v>3</v>
      </c>
      <c r="R31">
        <f t="shared" si="13"/>
        <v>5</v>
      </c>
      <c r="S31">
        <f t="shared" si="13"/>
        <v>4</v>
      </c>
    </row>
    <row r="32" spans="1:19" x14ac:dyDescent="0.25">
      <c r="A32" s="5">
        <v>3</v>
      </c>
      <c r="B32" s="6" t="s">
        <v>165</v>
      </c>
      <c r="C32" s="6" t="s">
        <v>169</v>
      </c>
      <c r="D32" s="33" t="s">
        <v>100</v>
      </c>
      <c r="E32" s="33" t="s">
        <v>125</v>
      </c>
      <c r="F32" s="17"/>
      <c r="G32" s="17">
        <v>1</v>
      </c>
      <c r="H32" s="17">
        <v>1</v>
      </c>
      <c r="I32" s="17">
        <v>1</v>
      </c>
      <c r="J32" s="17"/>
      <c r="K32" s="17">
        <v>4</v>
      </c>
      <c r="L32" s="17">
        <v>4</v>
      </c>
      <c r="M32" s="17">
        <v>2</v>
      </c>
      <c r="N32" s="5" t="str">
        <f t="shared" si="10"/>
        <v>2t5</v>
      </c>
      <c r="O32" s="5" t="str">
        <f t="shared" si="11"/>
        <v>4b8</v>
      </c>
      <c r="P32">
        <f t="shared" si="12"/>
        <v>2</v>
      </c>
      <c r="Q32">
        <f t="shared" si="12"/>
        <v>4</v>
      </c>
      <c r="R32">
        <f t="shared" si="13"/>
        <v>5</v>
      </c>
      <c r="S32">
        <f t="shared" si="13"/>
        <v>8</v>
      </c>
    </row>
    <row r="33" spans="1:19" x14ac:dyDescent="0.25">
      <c r="A33" s="5">
        <v>4</v>
      </c>
      <c r="B33" s="6" t="s">
        <v>207</v>
      </c>
      <c r="C33" s="6" t="s">
        <v>208</v>
      </c>
      <c r="D33" s="33" t="s">
        <v>80</v>
      </c>
      <c r="E33" s="33" t="s">
        <v>209</v>
      </c>
      <c r="F33" s="17"/>
      <c r="G33" s="17">
        <v>1</v>
      </c>
      <c r="H33" s="17">
        <v>1</v>
      </c>
      <c r="I33" s="17">
        <v>1</v>
      </c>
      <c r="J33" s="17"/>
      <c r="K33" s="17"/>
      <c r="L33" s="17">
        <v>6</v>
      </c>
      <c r="M33" s="17">
        <v>6</v>
      </c>
      <c r="N33" s="5" t="str">
        <f t="shared" si="10"/>
        <v>2t7</v>
      </c>
      <c r="O33" s="5" t="str">
        <f t="shared" si="11"/>
        <v>3b8</v>
      </c>
      <c r="P33">
        <f t="shared" si="12"/>
        <v>2</v>
      </c>
      <c r="Q33">
        <f t="shared" si="12"/>
        <v>3</v>
      </c>
      <c r="R33">
        <f t="shared" si="13"/>
        <v>7</v>
      </c>
      <c r="S33">
        <f t="shared" si="13"/>
        <v>8</v>
      </c>
    </row>
    <row r="34" spans="1:19" x14ac:dyDescent="0.25">
      <c r="A34" s="5">
        <v>5</v>
      </c>
      <c r="B34" s="6" t="s">
        <v>341</v>
      </c>
      <c r="C34" s="6" t="s">
        <v>342</v>
      </c>
      <c r="D34" s="33" t="s">
        <v>91</v>
      </c>
      <c r="E34" s="33" t="s">
        <v>344</v>
      </c>
      <c r="F34" s="17"/>
      <c r="G34" s="17">
        <v>1</v>
      </c>
      <c r="H34" s="17">
        <v>2</v>
      </c>
      <c r="I34" s="17">
        <v>2</v>
      </c>
      <c r="J34" s="17"/>
      <c r="K34" s="17"/>
      <c r="L34" s="17"/>
      <c r="M34" s="17">
        <v>1</v>
      </c>
      <c r="N34" s="5" t="str">
        <f t="shared" si="10"/>
        <v>1t2</v>
      </c>
      <c r="O34" s="5" t="str">
        <f t="shared" si="11"/>
        <v>3b4</v>
      </c>
      <c r="P34">
        <f t="shared" si="12"/>
        <v>1</v>
      </c>
      <c r="Q34">
        <f t="shared" si="12"/>
        <v>3</v>
      </c>
      <c r="R34">
        <f t="shared" si="13"/>
        <v>2</v>
      </c>
      <c r="S34">
        <f t="shared" si="13"/>
        <v>4</v>
      </c>
    </row>
    <row r="35" spans="1:19" x14ac:dyDescent="0.25">
      <c r="A35" s="5">
        <v>6</v>
      </c>
      <c r="B35" s="6" t="s">
        <v>355</v>
      </c>
      <c r="C35" s="6" t="s">
        <v>356</v>
      </c>
      <c r="D35" s="33" t="s">
        <v>80</v>
      </c>
      <c r="E35" s="33" t="s">
        <v>357</v>
      </c>
      <c r="F35" s="17"/>
      <c r="G35" s="17">
        <v>1</v>
      </c>
      <c r="H35" s="17"/>
      <c r="I35" s="17"/>
      <c r="J35" s="17"/>
      <c r="K35" s="17"/>
      <c r="L35" s="17"/>
      <c r="M35" s="17"/>
      <c r="N35" s="5" t="str">
        <f t="shared" si="10"/>
        <v>0t0</v>
      </c>
      <c r="O35" s="5" t="str">
        <f t="shared" si="11"/>
        <v>1b1</v>
      </c>
      <c r="P35">
        <f t="shared" si="12"/>
        <v>0</v>
      </c>
      <c r="Q35">
        <f t="shared" si="12"/>
        <v>1</v>
      </c>
      <c r="R35">
        <f t="shared" si="13"/>
        <v>0</v>
      </c>
      <c r="S35">
        <f t="shared" si="13"/>
        <v>1</v>
      </c>
    </row>
  </sheetData>
  <sortState ref="B30:S35">
    <sortCondition descending="1" ref="P30:P35"/>
    <sortCondition descending="1" ref="Q30:Q35"/>
    <sortCondition ref="R30:R35"/>
    <sortCondition ref="S30:S35"/>
  </sortState>
  <mergeCells count="20">
    <mergeCell ref="N2:O2"/>
    <mergeCell ref="N11:O11"/>
    <mergeCell ref="F11:G11"/>
    <mergeCell ref="H11:I11"/>
    <mergeCell ref="J11:K11"/>
    <mergeCell ref="L11:M11"/>
    <mergeCell ref="F2:G2"/>
    <mergeCell ref="H2:I2"/>
    <mergeCell ref="J2:K2"/>
    <mergeCell ref="L2:M2"/>
    <mergeCell ref="F19:G19"/>
    <mergeCell ref="H19:I19"/>
    <mergeCell ref="J19:K19"/>
    <mergeCell ref="L19:M19"/>
    <mergeCell ref="N19:O19"/>
    <mergeCell ref="F28:G28"/>
    <mergeCell ref="H28:I28"/>
    <mergeCell ref="J28:K28"/>
    <mergeCell ref="L28:M28"/>
    <mergeCell ref="N28:O28"/>
  </mergeCells>
  <pageMargins left="0.70866141732283472" right="0.70866141732283472" top="0.74803149606299213" bottom="0.74803149606299213" header="0.31496062992125984" footer="0.31496062992125984"/>
  <pageSetup paperSize="9" scale="84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selection activeCell="O3" sqref="O3"/>
    </sheetView>
  </sheetViews>
  <sheetFormatPr defaultRowHeight="15" x14ac:dyDescent="0.25"/>
  <cols>
    <col min="1" max="1" width="15.28515625" bestFit="1" customWidth="1"/>
    <col min="2" max="2" width="14.42578125" bestFit="1" customWidth="1"/>
    <col min="3" max="3" width="9.85546875" customWidth="1"/>
    <col min="4" max="4" width="21.5703125" bestFit="1" customWidth="1"/>
    <col min="5" max="5" width="16" bestFit="1" customWidth="1"/>
    <col min="6" max="6" width="7" customWidth="1"/>
    <col min="7" max="7" width="12.42578125" customWidth="1"/>
    <col min="8" max="8" width="9.42578125" customWidth="1"/>
    <col min="12" max="12" width="9.85546875" bestFit="1" customWidth="1"/>
    <col min="13" max="13" width="19.140625" customWidth="1"/>
  </cols>
  <sheetData>
    <row r="1" spans="1:10" x14ac:dyDescent="0.25">
      <c r="A1" t="s">
        <v>68</v>
      </c>
      <c r="B1" t="s">
        <v>69</v>
      </c>
      <c r="C1" t="s">
        <v>73</v>
      </c>
      <c r="D1" t="s">
        <v>75</v>
      </c>
      <c r="E1" t="s">
        <v>74</v>
      </c>
      <c r="F1" t="s">
        <v>70</v>
      </c>
      <c r="G1" t="s">
        <v>71</v>
      </c>
      <c r="H1" t="s">
        <v>72</v>
      </c>
      <c r="I1" t="s">
        <v>409</v>
      </c>
      <c r="J1" t="s">
        <v>408</v>
      </c>
    </row>
    <row r="2" spans="1:10" x14ac:dyDescent="0.25">
      <c r="A2" t="s">
        <v>98</v>
      </c>
      <c r="B2" t="s">
        <v>99</v>
      </c>
      <c r="C2" t="s">
        <v>100</v>
      </c>
      <c r="E2" t="s">
        <v>101</v>
      </c>
      <c r="F2">
        <v>1991</v>
      </c>
      <c r="G2" t="s">
        <v>78</v>
      </c>
      <c r="H2" t="s">
        <v>86</v>
      </c>
      <c r="I2">
        <v>1</v>
      </c>
      <c r="J2" t="s">
        <v>83</v>
      </c>
    </row>
    <row r="3" spans="1:10" x14ac:dyDescent="0.25">
      <c r="A3" t="s">
        <v>113</v>
      </c>
      <c r="B3" t="s">
        <v>114</v>
      </c>
      <c r="C3" t="s">
        <v>100</v>
      </c>
      <c r="D3" t="s">
        <v>115</v>
      </c>
      <c r="E3" t="s">
        <v>101</v>
      </c>
      <c r="F3">
        <v>1994</v>
      </c>
      <c r="G3" t="s">
        <v>78</v>
      </c>
      <c r="H3" t="s">
        <v>79</v>
      </c>
      <c r="I3">
        <v>1</v>
      </c>
      <c r="J3" t="s">
        <v>83</v>
      </c>
    </row>
    <row r="4" spans="1:10" x14ac:dyDescent="0.25">
      <c r="A4" t="s">
        <v>123</v>
      </c>
      <c r="B4" t="s">
        <v>124</v>
      </c>
      <c r="C4" t="s">
        <v>100</v>
      </c>
      <c r="D4" t="s">
        <v>125</v>
      </c>
      <c r="E4" t="s">
        <v>101</v>
      </c>
      <c r="F4">
        <v>1999</v>
      </c>
      <c r="G4" t="s">
        <v>104</v>
      </c>
      <c r="H4" t="s">
        <v>79</v>
      </c>
      <c r="I4">
        <v>1</v>
      </c>
      <c r="J4" t="s">
        <v>83</v>
      </c>
    </row>
    <row r="5" spans="1:10" x14ac:dyDescent="0.25">
      <c r="A5" t="s">
        <v>126</v>
      </c>
      <c r="B5" t="s">
        <v>127</v>
      </c>
      <c r="C5" t="s">
        <v>118</v>
      </c>
      <c r="D5" t="s">
        <v>129</v>
      </c>
      <c r="E5" t="s">
        <v>128</v>
      </c>
      <c r="F5">
        <v>1988</v>
      </c>
      <c r="G5" t="s">
        <v>78</v>
      </c>
      <c r="H5" t="s">
        <v>86</v>
      </c>
      <c r="I5">
        <v>1</v>
      </c>
      <c r="J5" t="s">
        <v>83</v>
      </c>
    </row>
    <row r="6" spans="1:10" x14ac:dyDescent="0.25">
      <c r="A6" t="s">
        <v>147</v>
      </c>
      <c r="B6" t="s">
        <v>148</v>
      </c>
      <c r="C6" t="s">
        <v>100</v>
      </c>
      <c r="E6" t="s">
        <v>101</v>
      </c>
      <c r="F6">
        <v>1995</v>
      </c>
      <c r="G6" t="s">
        <v>78</v>
      </c>
      <c r="H6" t="s">
        <v>86</v>
      </c>
      <c r="I6">
        <v>1</v>
      </c>
      <c r="J6" t="s">
        <v>83</v>
      </c>
    </row>
    <row r="7" spans="1:10" x14ac:dyDescent="0.25">
      <c r="A7" t="s">
        <v>152</v>
      </c>
      <c r="B7" t="s">
        <v>153</v>
      </c>
      <c r="C7" t="s">
        <v>118</v>
      </c>
      <c r="D7" t="s">
        <v>155</v>
      </c>
      <c r="E7" t="s">
        <v>154</v>
      </c>
      <c r="F7">
        <v>1988</v>
      </c>
      <c r="G7" t="s">
        <v>78</v>
      </c>
      <c r="H7" t="s">
        <v>79</v>
      </c>
      <c r="I7">
        <v>1</v>
      </c>
      <c r="J7" t="s">
        <v>83</v>
      </c>
    </row>
    <row r="8" spans="1:10" x14ac:dyDescent="0.25">
      <c r="A8" t="s">
        <v>165</v>
      </c>
      <c r="B8" t="s">
        <v>169</v>
      </c>
      <c r="C8" t="s">
        <v>100</v>
      </c>
      <c r="D8" t="s">
        <v>125</v>
      </c>
      <c r="E8" t="s">
        <v>101</v>
      </c>
      <c r="F8">
        <v>1988</v>
      </c>
      <c r="G8" t="s">
        <v>78</v>
      </c>
      <c r="H8" t="s">
        <v>86</v>
      </c>
      <c r="I8">
        <v>1</v>
      </c>
      <c r="J8" t="s">
        <v>83</v>
      </c>
    </row>
    <row r="9" spans="1:10" x14ac:dyDescent="0.25">
      <c r="A9" t="s">
        <v>174</v>
      </c>
      <c r="B9" t="s">
        <v>175</v>
      </c>
      <c r="C9" t="s">
        <v>100</v>
      </c>
      <c r="D9" t="s">
        <v>125</v>
      </c>
      <c r="E9" t="s">
        <v>101</v>
      </c>
      <c r="F9">
        <v>1987</v>
      </c>
      <c r="G9" t="s">
        <v>78</v>
      </c>
      <c r="H9" t="s">
        <v>86</v>
      </c>
      <c r="I9">
        <v>1</v>
      </c>
      <c r="J9" t="s">
        <v>83</v>
      </c>
    </row>
    <row r="10" spans="1:10" x14ac:dyDescent="0.25">
      <c r="A10" t="s">
        <v>179</v>
      </c>
      <c r="B10" t="s">
        <v>180</v>
      </c>
      <c r="C10" t="s">
        <v>100</v>
      </c>
      <c r="D10" t="s">
        <v>181</v>
      </c>
      <c r="E10" t="s">
        <v>101</v>
      </c>
      <c r="F10">
        <v>1997</v>
      </c>
      <c r="G10" t="s">
        <v>35</v>
      </c>
      <c r="H10" t="s">
        <v>79</v>
      </c>
      <c r="I10">
        <v>1</v>
      </c>
      <c r="J10" t="s">
        <v>78</v>
      </c>
    </row>
    <row r="11" spans="1:10" x14ac:dyDescent="0.25">
      <c r="A11" t="s">
        <v>182</v>
      </c>
      <c r="B11" t="s">
        <v>183</v>
      </c>
      <c r="C11" t="s">
        <v>100</v>
      </c>
      <c r="E11" t="s">
        <v>101</v>
      </c>
      <c r="F11">
        <v>1996</v>
      </c>
      <c r="G11" t="s">
        <v>35</v>
      </c>
      <c r="H11" t="s">
        <v>79</v>
      </c>
      <c r="I11">
        <v>1</v>
      </c>
      <c r="J11" t="s">
        <v>78</v>
      </c>
    </row>
    <row r="12" spans="1:10" x14ac:dyDescent="0.25">
      <c r="A12" t="s">
        <v>199</v>
      </c>
      <c r="B12" t="s">
        <v>200</v>
      </c>
      <c r="C12" t="s">
        <v>100</v>
      </c>
      <c r="E12" t="s">
        <v>101</v>
      </c>
      <c r="F12">
        <v>1999</v>
      </c>
      <c r="G12" t="s">
        <v>104</v>
      </c>
      <c r="H12" t="s">
        <v>86</v>
      </c>
      <c r="I12">
        <v>1</v>
      </c>
      <c r="J12" t="s">
        <v>78</v>
      </c>
    </row>
    <row r="13" spans="1:10" x14ac:dyDescent="0.25">
      <c r="A13" t="s">
        <v>76</v>
      </c>
      <c r="B13" t="s">
        <v>203</v>
      </c>
      <c r="C13" t="s">
        <v>100</v>
      </c>
      <c r="D13" t="s">
        <v>204</v>
      </c>
      <c r="E13" t="s">
        <v>101</v>
      </c>
      <c r="F13">
        <v>1983</v>
      </c>
      <c r="G13" t="s">
        <v>78</v>
      </c>
      <c r="H13" t="s">
        <v>79</v>
      </c>
      <c r="I13">
        <v>1</v>
      </c>
      <c r="J13" t="s">
        <v>83</v>
      </c>
    </row>
    <row r="14" spans="1:10" x14ac:dyDescent="0.25">
      <c r="A14" t="s">
        <v>215</v>
      </c>
      <c r="B14" t="s">
        <v>216</v>
      </c>
      <c r="C14" t="s">
        <v>100</v>
      </c>
      <c r="D14" t="s">
        <v>125</v>
      </c>
      <c r="E14" t="s">
        <v>101</v>
      </c>
      <c r="F14">
        <v>1987</v>
      </c>
      <c r="G14" t="s">
        <v>78</v>
      </c>
      <c r="H14" t="s">
        <v>86</v>
      </c>
      <c r="I14">
        <v>1</v>
      </c>
      <c r="J14" t="s">
        <v>78</v>
      </c>
    </row>
    <row r="15" spans="1:10" x14ac:dyDescent="0.25">
      <c r="A15" t="s">
        <v>217</v>
      </c>
      <c r="B15" t="s">
        <v>218</v>
      </c>
      <c r="C15" t="s">
        <v>100</v>
      </c>
      <c r="D15" t="s">
        <v>125</v>
      </c>
      <c r="E15" t="s">
        <v>101</v>
      </c>
      <c r="F15">
        <v>1991</v>
      </c>
      <c r="G15" t="s">
        <v>78</v>
      </c>
      <c r="H15" t="s">
        <v>79</v>
      </c>
      <c r="I15">
        <v>1</v>
      </c>
      <c r="J15" t="s">
        <v>78</v>
      </c>
    </row>
    <row r="16" spans="1:10" x14ac:dyDescent="0.25">
      <c r="A16" t="s">
        <v>233</v>
      </c>
      <c r="B16" t="s">
        <v>234</v>
      </c>
      <c r="C16" t="s">
        <v>87</v>
      </c>
      <c r="D16" t="s">
        <v>235</v>
      </c>
      <c r="E16" t="s">
        <v>161</v>
      </c>
      <c r="F16">
        <v>1996</v>
      </c>
      <c r="G16" t="s">
        <v>35</v>
      </c>
      <c r="H16" t="s">
        <v>79</v>
      </c>
      <c r="I16">
        <v>1</v>
      </c>
      <c r="J16" t="s">
        <v>83</v>
      </c>
    </row>
    <row r="17" spans="1:10" x14ac:dyDescent="0.25">
      <c r="A17" t="s">
        <v>236</v>
      </c>
      <c r="B17" t="s">
        <v>237</v>
      </c>
      <c r="C17" t="s">
        <v>100</v>
      </c>
      <c r="E17" t="s">
        <v>101</v>
      </c>
      <c r="F17">
        <v>1988</v>
      </c>
      <c r="G17" t="s">
        <v>78</v>
      </c>
      <c r="H17" t="s">
        <v>79</v>
      </c>
      <c r="I17">
        <v>1</v>
      </c>
      <c r="J17" t="s">
        <v>78</v>
      </c>
    </row>
    <row r="18" spans="1:10" x14ac:dyDescent="0.25">
      <c r="A18" t="s">
        <v>246</v>
      </c>
      <c r="B18" t="s">
        <v>247</v>
      </c>
      <c r="C18" t="s">
        <v>100</v>
      </c>
      <c r="D18" t="s">
        <v>248</v>
      </c>
      <c r="E18" t="s">
        <v>101</v>
      </c>
      <c r="F18">
        <v>1972</v>
      </c>
      <c r="G18" t="s">
        <v>78</v>
      </c>
      <c r="H18" t="s">
        <v>86</v>
      </c>
      <c r="I18">
        <v>1</v>
      </c>
      <c r="J18" t="s">
        <v>83</v>
      </c>
    </row>
    <row r="19" spans="1:10" x14ac:dyDescent="0.25">
      <c r="A19" t="s">
        <v>264</v>
      </c>
      <c r="B19" t="s">
        <v>265</v>
      </c>
      <c r="C19" t="s">
        <v>100</v>
      </c>
      <c r="D19" t="s">
        <v>186</v>
      </c>
      <c r="E19" t="s">
        <v>101</v>
      </c>
      <c r="F19">
        <v>2000</v>
      </c>
      <c r="G19" t="s">
        <v>185</v>
      </c>
      <c r="H19" t="s">
        <v>79</v>
      </c>
      <c r="I19">
        <v>1</v>
      </c>
      <c r="J19" t="s">
        <v>83</v>
      </c>
    </row>
    <row r="20" spans="1:10" x14ac:dyDescent="0.25">
      <c r="A20" t="s">
        <v>289</v>
      </c>
      <c r="B20" t="s">
        <v>290</v>
      </c>
      <c r="C20" t="s">
        <v>118</v>
      </c>
      <c r="D20" t="s">
        <v>292</v>
      </c>
      <c r="E20" t="s">
        <v>291</v>
      </c>
      <c r="F20">
        <v>1994</v>
      </c>
      <c r="G20" t="s">
        <v>78</v>
      </c>
      <c r="H20" t="s">
        <v>79</v>
      </c>
      <c r="I20">
        <v>1</v>
      </c>
      <c r="J20" t="s">
        <v>83</v>
      </c>
    </row>
    <row r="21" spans="1:10" x14ac:dyDescent="0.25">
      <c r="A21" t="s">
        <v>301</v>
      </c>
      <c r="B21" t="s">
        <v>302</v>
      </c>
      <c r="C21" t="s">
        <v>91</v>
      </c>
      <c r="E21" t="s">
        <v>189</v>
      </c>
      <c r="F21">
        <v>1986</v>
      </c>
      <c r="G21" t="s">
        <v>78</v>
      </c>
      <c r="H21" t="s">
        <v>86</v>
      </c>
      <c r="I21">
        <v>1</v>
      </c>
      <c r="J21" t="s">
        <v>83</v>
      </c>
    </row>
    <row r="22" spans="1:10" x14ac:dyDescent="0.25">
      <c r="A22" t="s">
        <v>319</v>
      </c>
      <c r="B22" t="s">
        <v>320</v>
      </c>
      <c r="C22" t="s">
        <v>100</v>
      </c>
      <c r="D22" t="s">
        <v>186</v>
      </c>
      <c r="E22" t="s">
        <v>101</v>
      </c>
      <c r="F22">
        <v>2002</v>
      </c>
      <c r="G22" t="s">
        <v>281</v>
      </c>
      <c r="H22" t="s">
        <v>79</v>
      </c>
      <c r="I22">
        <v>1</v>
      </c>
      <c r="J22" t="s">
        <v>78</v>
      </c>
    </row>
    <row r="23" spans="1:10" x14ac:dyDescent="0.25">
      <c r="A23" t="s">
        <v>339</v>
      </c>
      <c r="B23" t="s">
        <v>340</v>
      </c>
      <c r="C23" t="s">
        <v>100</v>
      </c>
      <c r="E23" t="s">
        <v>101</v>
      </c>
      <c r="F23">
        <v>1977</v>
      </c>
      <c r="G23" t="s">
        <v>78</v>
      </c>
      <c r="H23" t="s">
        <v>86</v>
      </c>
      <c r="I23">
        <v>1</v>
      </c>
      <c r="J23" t="s">
        <v>83</v>
      </c>
    </row>
    <row r="24" spans="1:10" x14ac:dyDescent="0.25">
      <c r="A24" t="s">
        <v>358</v>
      </c>
      <c r="B24" t="s">
        <v>359</v>
      </c>
      <c r="C24" t="s">
        <v>100</v>
      </c>
      <c r="D24" t="s">
        <v>186</v>
      </c>
      <c r="E24" t="s">
        <v>101</v>
      </c>
      <c r="F24">
        <v>1999</v>
      </c>
      <c r="G24" t="s">
        <v>104</v>
      </c>
      <c r="H24" t="s">
        <v>86</v>
      </c>
      <c r="I24">
        <v>1</v>
      </c>
      <c r="J24" t="s">
        <v>83</v>
      </c>
    </row>
    <row r="25" spans="1:10" x14ac:dyDescent="0.25">
      <c r="A25" t="s">
        <v>377</v>
      </c>
      <c r="B25" t="s">
        <v>378</v>
      </c>
      <c r="C25" t="s">
        <v>100</v>
      </c>
      <c r="D25" t="s">
        <v>125</v>
      </c>
      <c r="E25" t="s">
        <v>101</v>
      </c>
      <c r="F25">
        <v>1985</v>
      </c>
      <c r="G25" t="s">
        <v>78</v>
      </c>
      <c r="H25" t="s">
        <v>86</v>
      </c>
      <c r="I25">
        <v>1</v>
      </c>
      <c r="J25" t="s">
        <v>83</v>
      </c>
    </row>
    <row r="26" spans="1:10" x14ac:dyDescent="0.25">
      <c r="A26" t="s">
        <v>379</v>
      </c>
      <c r="B26" t="s">
        <v>380</v>
      </c>
      <c r="C26" t="s">
        <v>100</v>
      </c>
      <c r="D26" t="s">
        <v>125</v>
      </c>
      <c r="E26" t="s">
        <v>101</v>
      </c>
      <c r="F26">
        <v>2004</v>
      </c>
      <c r="G26" t="s">
        <v>281</v>
      </c>
      <c r="H26" t="s">
        <v>79</v>
      </c>
      <c r="I26">
        <v>1</v>
      </c>
      <c r="J26" t="s">
        <v>83</v>
      </c>
    </row>
    <row r="27" spans="1:10" x14ac:dyDescent="0.25">
      <c r="A27" t="s">
        <v>381</v>
      </c>
      <c r="B27" t="s">
        <v>382</v>
      </c>
      <c r="C27" t="s">
        <v>100</v>
      </c>
      <c r="D27" t="s">
        <v>125</v>
      </c>
      <c r="E27" t="s">
        <v>101</v>
      </c>
      <c r="F27">
        <v>2008</v>
      </c>
      <c r="G27" t="s">
        <v>281</v>
      </c>
      <c r="H27" t="s">
        <v>79</v>
      </c>
      <c r="I27">
        <v>1</v>
      </c>
      <c r="J27" t="s">
        <v>83</v>
      </c>
    </row>
    <row r="28" spans="1:10" x14ac:dyDescent="0.25">
      <c r="A28" t="s">
        <v>383</v>
      </c>
      <c r="B28" t="s">
        <v>384</v>
      </c>
      <c r="C28" t="s">
        <v>100</v>
      </c>
      <c r="D28" t="s">
        <v>385</v>
      </c>
      <c r="E28" t="s">
        <v>101</v>
      </c>
      <c r="F28">
        <v>2002</v>
      </c>
      <c r="G28" t="s">
        <v>281</v>
      </c>
      <c r="H28" t="s">
        <v>79</v>
      </c>
      <c r="I28">
        <v>1</v>
      </c>
      <c r="J28" t="s">
        <v>83</v>
      </c>
    </row>
    <row r="29" spans="1:10" x14ac:dyDescent="0.25">
      <c r="A29" t="s">
        <v>386</v>
      </c>
      <c r="B29" t="s">
        <v>387</v>
      </c>
      <c r="C29" t="s">
        <v>100</v>
      </c>
      <c r="D29" t="s">
        <v>388</v>
      </c>
      <c r="E29" t="s">
        <v>101</v>
      </c>
      <c r="F29">
        <v>2001</v>
      </c>
      <c r="G29" t="s">
        <v>185</v>
      </c>
      <c r="H29" t="s">
        <v>79</v>
      </c>
      <c r="I29">
        <v>1</v>
      </c>
      <c r="J29" t="s">
        <v>83</v>
      </c>
    </row>
    <row r="30" spans="1:10" x14ac:dyDescent="0.25">
      <c r="A30" t="s">
        <v>400</v>
      </c>
      <c r="B30" t="s">
        <v>401</v>
      </c>
      <c r="C30" t="s">
        <v>100</v>
      </c>
      <c r="D30" t="s">
        <v>186</v>
      </c>
      <c r="E30" t="s">
        <v>101</v>
      </c>
      <c r="F30">
        <v>2002</v>
      </c>
      <c r="G30" t="s">
        <v>281</v>
      </c>
      <c r="H30" t="s">
        <v>86</v>
      </c>
      <c r="I30">
        <v>1</v>
      </c>
      <c r="J30" t="s">
        <v>83</v>
      </c>
    </row>
    <row r="31" spans="1:10" x14ac:dyDescent="0.25">
      <c r="A31" t="s">
        <v>406</v>
      </c>
      <c r="B31" t="s">
        <v>407</v>
      </c>
      <c r="C31" t="s">
        <v>100</v>
      </c>
      <c r="E31" t="s">
        <v>101</v>
      </c>
      <c r="F31">
        <v>1980</v>
      </c>
      <c r="G31" t="s">
        <v>78</v>
      </c>
      <c r="H31" t="s">
        <v>79</v>
      </c>
      <c r="I31">
        <v>1</v>
      </c>
      <c r="J31" t="s">
        <v>78</v>
      </c>
    </row>
    <row r="32" spans="1:10" x14ac:dyDescent="0.25">
      <c r="A32" t="s">
        <v>76</v>
      </c>
      <c r="B32" t="s">
        <v>77</v>
      </c>
      <c r="C32" t="s">
        <v>80</v>
      </c>
      <c r="D32" t="s">
        <v>82</v>
      </c>
      <c r="E32" t="s">
        <v>81</v>
      </c>
      <c r="F32">
        <v>1987</v>
      </c>
      <c r="G32" t="s">
        <v>78</v>
      </c>
      <c r="H32" t="s">
        <v>79</v>
      </c>
      <c r="I32">
        <v>2</v>
      </c>
      <c r="J32" t="s">
        <v>83</v>
      </c>
    </row>
    <row r="33" spans="1:10" x14ac:dyDescent="0.25">
      <c r="A33" t="s">
        <v>89</v>
      </c>
      <c r="B33" t="s">
        <v>90</v>
      </c>
      <c r="C33" t="s">
        <v>91</v>
      </c>
      <c r="D33" t="s">
        <v>93</v>
      </c>
      <c r="E33" t="s">
        <v>92</v>
      </c>
      <c r="F33">
        <v>1996</v>
      </c>
      <c r="G33" t="s">
        <v>35</v>
      </c>
      <c r="H33" t="s">
        <v>79</v>
      </c>
      <c r="I33">
        <v>2</v>
      </c>
      <c r="J33" t="s">
        <v>78</v>
      </c>
    </row>
    <row r="34" spans="1:10" x14ac:dyDescent="0.25">
      <c r="A34" t="s">
        <v>94</v>
      </c>
      <c r="B34" t="s">
        <v>95</v>
      </c>
      <c r="C34" t="s">
        <v>91</v>
      </c>
      <c r="D34" t="s">
        <v>97</v>
      </c>
      <c r="E34" t="s">
        <v>96</v>
      </c>
      <c r="F34">
        <v>1989</v>
      </c>
      <c r="G34" t="s">
        <v>78</v>
      </c>
      <c r="H34" t="s">
        <v>86</v>
      </c>
      <c r="I34">
        <v>2</v>
      </c>
      <c r="J34" t="s">
        <v>78</v>
      </c>
    </row>
    <row r="35" spans="1:10" x14ac:dyDescent="0.25">
      <c r="A35" t="s">
        <v>106</v>
      </c>
      <c r="B35" t="s">
        <v>107</v>
      </c>
      <c r="C35" t="s">
        <v>80</v>
      </c>
      <c r="E35" t="s">
        <v>108</v>
      </c>
      <c r="F35">
        <v>1989</v>
      </c>
      <c r="G35" t="s">
        <v>78</v>
      </c>
      <c r="H35" t="s">
        <v>86</v>
      </c>
      <c r="I35">
        <v>2</v>
      </c>
      <c r="J35" t="s">
        <v>78</v>
      </c>
    </row>
    <row r="36" spans="1:10" x14ac:dyDescent="0.25">
      <c r="A36" t="s">
        <v>116</v>
      </c>
      <c r="B36" t="s">
        <v>117</v>
      </c>
      <c r="C36" t="s">
        <v>118</v>
      </c>
      <c r="D36" t="s">
        <v>120</v>
      </c>
      <c r="E36" t="s">
        <v>119</v>
      </c>
      <c r="F36">
        <v>1985</v>
      </c>
      <c r="G36" t="s">
        <v>78</v>
      </c>
      <c r="H36" t="s">
        <v>86</v>
      </c>
      <c r="I36">
        <v>2</v>
      </c>
      <c r="J36" t="s">
        <v>78</v>
      </c>
    </row>
    <row r="37" spans="1:10" x14ac:dyDescent="0.25">
      <c r="A37" t="s">
        <v>121</v>
      </c>
      <c r="B37" t="s">
        <v>122</v>
      </c>
      <c r="C37" t="s">
        <v>118</v>
      </c>
      <c r="D37" t="s">
        <v>120</v>
      </c>
      <c r="E37" t="s">
        <v>119</v>
      </c>
      <c r="F37">
        <v>1978</v>
      </c>
      <c r="G37" t="s">
        <v>78</v>
      </c>
      <c r="H37" t="s">
        <v>86</v>
      </c>
      <c r="I37">
        <v>2</v>
      </c>
      <c r="J37" t="s">
        <v>83</v>
      </c>
    </row>
    <row r="38" spans="1:10" x14ac:dyDescent="0.25">
      <c r="A38" t="s">
        <v>132</v>
      </c>
      <c r="B38" t="s">
        <v>133</v>
      </c>
      <c r="C38" t="s">
        <v>100</v>
      </c>
      <c r="E38" t="s">
        <v>101</v>
      </c>
      <c r="F38">
        <v>1990</v>
      </c>
      <c r="G38" t="s">
        <v>78</v>
      </c>
      <c r="H38" t="s">
        <v>86</v>
      </c>
      <c r="I38">
        <v>2</v>
      </c>
      <c r="J38" t="s">
        <v>78</v>
      </c>
    </row>
    <row r="39" spans="1:10" x14ac:dyDescent="0.25">
      <c r="A39" t="s">
        <v>134</v>
      </c>
      <c r="B39" t="s">
        <v>135</v>
      </c>
      <c r="C39" t="s">
        <v>100</v>
      </c>
      <c r="E39" t="s">
        <v>101</v>
      </c>
      <c r="F39">
        <v>1987</v>
      </c>
      <c r="G39" t="s">
        <v>78</v>
      </c>
      <c r="H39" t="s">
        <v>86</v>
      </c>
      <c r="I39">
        <v>2</v>
      </c>
      <c r="J39" t="s">
        <v>78</v>
      </c>
    </row>
    <row r="40" spans="1:10" x14ac:dyDescent="0.25">
      <c r="A40" t="s">
        <v>136</v>
      </c>
      <c r="B40" t="s">
        <v>137</v>
      </c>
      <c r="C40" t="s">
        <v>100</v>
      </c>
      <c r="D40" t="s">
        <v>138</v>
      </c>
      <c r="E40" t="s">
        <v>101</v>
      </c>
      <c r="F40">
        <v>1990</v>
      </c>
      <c r="G40" t="s">
        <v>78</v>
      </c>
      <c r="H40" t="s">
        <v>86</v>
      </c>
      <c r="I40">
        <v>2</v>
      </c>
      <c r="J40" t="s">
        <v>78</v>
      </c>
    </row>
    <row r="41" spans="1:10" x14ac:dyDescent="0.25">
      <c r="A41" t="s">
        <v>139</v>
      </c>
      <c r="B41" t="s">
        <v>140</v>
      </c>
      <c r="C41" t="s">
        <v>100</v>
      </c>
      <c r="D41" t="s">
        <v>138</v>
      </c>
      <c r="E41" t="s">
        <v>101</v>
      </c>
      <c r="F41">
        <v>1989</v>
      </c>
      <c r="G41" t="s">
        <v>78</v>
      </c>
      <c r="H41" t="s">
        <v>86</v>
      </c>
      <c r="I41">
        <v>2</v>
      </c>
      <c r="J41" t="s">
        <v>78</v>
      </c>
    </row>
    <row r="42" spans="1:10" x14ac:dyDescent="0.25">
      <c r="A42" t="s">
        <v>149</v>
      </c>
      <c r="B42" t="s">
        <v>150</v>
      </c>
      <c r="C42" t="s">
        <v>100</v>
      </c>
      <c r="D42" t="s">
        <v>151</v>
      </c>
      <c r="E42" t="s">
        <v>101</v>
      </c>
      <c r="F42">
        <v>1995</v>
      </c>
      <c r="G42" t="s">
        <v>78</v>
      </c>
      <c r="H42" t="s">
        <v>79</v>
      </c>
      <c r="I42">
        <v>2</v>
      </c>
      <c r="J42" t="s">
        <v>83</v>
      </c>
    </row>
    <row r="43" spans="1:10" x14ac:dyDescent="0.25">
      <c r="A43" t="s">
        <v>102</v>
      </c>
      <c r="B43" t="s">
        <v>163</v>
      </c>
      <c r="C43" t="s">
        <v>100</v>
      </c>
      <c r="D43" t="s">
        <v>164</v>
      </c>
      <c r="E43" t="s">
        <v>101</v>
      </c>
      <c r="F43">
        <v>1992</v>
      </c>
      <c r="G43" t="s">
        <v>78</v>
      </c>
      <c r="H43" t="s">
        <v>86</v>
      </c>
      <c r="I43">
        <v>2</v>
      </c>
      <c r="J43" t="s">
        <v>78</v>
      </c>
    </row>
    <row r="44" spans="1:10" x14ac:dyDescent="0.25">
      <c r="A44" t="s">
        <v>165</v>
      </c>
      <c r="B44" t="s">
        <v>166</v>
      </c>
      <c r="C44" t="s">
        <v>100</v>
      </c>
      <c r="E44" t="s">
        <v>101</v>
      </c>
      <c r="F44">
        <v>1988</v>
      </c>
      <c r="G44" t="s">
        <v>78</v>
      </c>
      <c r="H44" t="s">
        <v>86</v>
      </c>
      <c r="I44">
        <v>2</v>
      </c>
      <c r="J44" t="s">
        <v>78</v>
      </c>
    </row>
    <row r="45" spans="1:10" x14ac:dyDescent="0.25">
      <c r="A45" t="s">
        <v>170</v>
      </c>
      <c r="B45" t="s">
        <v>171</v>
      </c>
      <c r="C45" t="s">
        <v>80</v>
      </c>
      <c r="D45" t="s">
        <v>82</v>
      </c>
      <c r="E45" t="s">
        <v>81</v>
      </c>
      <c r="F45">
        <v>1983</v>
      </c>
      <c r="G45" t="s">
        <v>78</v>
      </c>
      <c r="H45" t="s">
        <v>86</v>
      </c>
      <c r="I45">
        <v>2</v>
      </c>
      <c r="J45" t="s">
        <v>83</v>
      </c>
    </row>
    <row r="46" spans="1:10" x14ac:dyDescent="0.25">
      <c r="A46" t="s">
        <v>172</v>
      </c>
      <c r="B46" t="s">
        <v>173</v>
      </c>
      <c r="C46" t="s">
        <v>80</v>
      </c>
      <c r="D46" t="s">
        <v>82</v>
      </c>
      <c r="E46" t="s">
        <v>81</v>
      </c>
      <c r="F46">
        <v>1988</v>
      </c>
      <c r="G46" t="s">
        <v>78</v>
      </c>
      <c r="H46" t="s">
        <v>79</v>
      </c>
      <c r="I46">
        <v>2</v>
      </c>
      <c r="J46" t="s">
        <v>83</v>
      </c>
    </row>
    <row r="47" spans="1:10" x14ac:dyDescent="0.25">
      <c r="A47" t="s">
        <v>201</v>
      </c>
      <c r="B47" t="s">
        <v>202</v>
      </c>
      <c r="C47" t="s">
        <v>100</v>
      </c>
      <c r="E47" t="s">
        <v>101</v>
      </c>
      <c r="F47">
        <v>1991</v>
      </c>
      <c r="G47" t="s">
        <v>78</v>
      </c>
      <c r="H47" t="s">
        <v>79</v>
      </c>
      <c r="I47">
        <v>2</v>
      </c>
      <c r="J47" t="s">
        <v>78</v>
      </c>
    </row>
    <row r="48" spans="1:10" x14ac:dyDescent="0.25">
      <c r="A48" t="s">
        <v>213</v>
      </c>
      <c r="B48" t="s">
        <v>214</v>
      </c>
      <c r="C48" t="s">
        <v>100</v>
      </c>
      <c r="D48" t="s">
        <v>125</v>
      </c>
      <c r="E48" t="s">
        <v>101</v>
      </c>
      <c r="F48">
        <v>1974</v>
      </c>
      <c r="G48" t="s">
        <v>78</v>
      </c>
      <c r="H48" t="s">
        <v>79</v>
      </c>
      <c r="I48">
        <v>2</v>
      </c>
      <c r="J48" t="s">
        <v>83</v>
      </c>
    </row>
    <row r="49" spans="1:10" x14ac:dyDescent="0.25">
      <c r="A49" t="s">
        <v>244</v>
      </c>
      <c r="B49" t="s">
        <v>245</v>
      </c>
      <c r="C49" t="s">
        <v>100</v>
      </c>
      <c r="D49" t="s">
        <v>125</v>
      </c>
      <c r="E49" t="s">
        <v>101</v>
      </c>
      <c r="F49">
        <v>1988</v>
      </c>
      <c r="G49" t="s">
        <v>78</v>
      </c>
      <c r="H49" t="s">
        <v>79</v>
      </c>
      <c r="I49">
        <v>2</v>
      </c>
      <c r="J49" t="s">
        <v>83</v>
      </c>
    </row>
    <row r="50" spans="1:10" x14ac:dyDescent="0.25">
      <c r="A50" t="s">
        <v>252</v>
      </c>
      <c r="B50" t="s">
        <v>253</v>
      </c>
      <c r="C50" t="s">
        <v>100</v>
      </c>
      <c r="D50" t="s">
        <v>186</v>
      </c>
      <c r="E50" t="s">
        <v>101</v>
      </c>
      <c r="F50">
        <v>1991</v>
      </c>
      <c r="G50" t="s">
        <v>78</v>
      </c>
      <c r="H50" t="s">
        <v>86</v>
      </c>
      <c r="I50">
        <v>2</v>
      </c>
      <c r="J50" t="s">
        <v>78</v>
      </c>
    </row>
    <row r="51" spans="1:10" x14ac:dyDescent="0.25">
      <c r="A51" t="s">
        <v>297</v>
      </c>
      <c r="B51" t="s">
        <v>298</v>
      </c>
      <c r="C51" t="s">
        <v>91</v>
      </c>
      <c r="E51" t="s">
        <v>299</v>
      </c>
      <c r="F51">
        <v>1993</v>
      </c>
      <c r="G51" t="s">
        <v>78</v>
      </c>
      <c r="H51" t="s">
        <v>79</v>
      </c>
      <c r="I51">
        <v>2</v>
      </c>
      <c r="J51" t="s">
        <v>78</v>
      </c>
    </row>
    <row r="52" spans="1:10" x14ac:dyDescent="0.25">
      <c r="A52" t="s">
        <v>233</v>
      </c>
      <c r="B52" t="s">
        <v>300</v>
      </c>
      <c r="C52" t="s">
        <v>91</v>
      </c>
      <c r="E52" t="s">
        <v>189</v>
      </c>
      <c r="F52">
        <v>1988</v>
      </c>
      <c r="G52" t="s">
        <v>78</v>
      </c>
      <c r="H52" t="s">
        <v>79</v>
      </c>
      <c r="I52">
        <v>2</v>
      </c>
      <c r="J52" t="s">
        <v>78</v>
      </c>
    </row>
    <row r="53" spans="1:10" x14ac:dyDescent="0.25">
      <c r="A53" t="s">
        <v>130</v>
      </c>
      <c r="B53" t="s">
        <v>131</v>
      </c>
      <c r="C53" t="s">
        <v>100</v>
      </c>
      <c r="D53" t="s">
        <v>335</v>
      </c>
      <c r="E53" t="s">
        <v>101</v>
      </c>
      <c r="F53">
        <v>1991</v>
      </c>
      <c r="G53" t="s">
        <v>78</v>
      </c>
      <c r="H53" t="s">
        <v>86</v>
      </c>
      <c r="I53">
        <v>2</v>
      </c>
      <c r="J53" t="s">
        <v>83</v>
      </c>
    </row>
    <row r="54" spans="1:10" x14ac:dyDescent="0.25">
      <c r="A54" t="s">
        <v>364</v>
      </c>
      <c r="B54" t="s">
        <v>365</v>
      </c>
      <c r="C54" t="s">
        <v>100</v>
      </c>
      <c r="E54" t="s">
        <v>101</v>
      </c>
      <c r="F54">
        <v>1976</v>
      </c>
      <c r="G54" t="s">
        <v>78</v>
      </c>
      <c r="H54" t="s">
        <v>86</v>
      </c>
      <c r="I54">
        <v>2</v>
      </c>
      <c r="J54" t="s">
        <v>78</v>
      </c>
    </row>
    <row r="55" spans="1:10" x14ac:dyDescent="0.25">
      <c r="A55" t="s">
        <v>366</v>
      </c>
      <c r="B55" t="s">
        <v>367</v>
      </c>
      <c r="C55" t="s">
        <v>100</v>
      </c>
      <c r="D55" t="s">
        <v>368</v>
      </c>
      <c r="E55" t="s">
        <v>101</v>
      </c>
      <c r="F55">
        <v>1998</v>
      </c>
      <c r="G55" t="s">
        <v>104</v>
      </c>
      <c r="H55" t="s">
        <v>86</v>
      </c>
      <c r="I55">
        <v>2</v>
      </c>
      <c r="J55" t="s">
        <v>78</v>
      </c>
    </row>
    <row r="56" spans="1:10" x14ac:dyDescent="0.25">
      <c r="A56" t="s">
        <v>372</v>
      </c>
      <c r="B56" t="s">
        <v>373</v>
      </c>
      <c r="C56" t="s">
        <v>91</v>
      </c>
      <c r="E56" t="s">
        <v>92</v>
      </c>
      <c r="F56">
        <v>1993</v>
      </c>
      <c r="G56" t="s">
        <v>78</v>
      </c>
      <c r="H56" t="s">
        <v>86</v>
      </c>
      <c r="I56">
        <v>2</v>
      </c>
      <c r="J56" t="s">
        <v>83</v>
      </c>
    </row>
    <row r="57" spans="1:10" x14ac:dyDescent="0.25">
      <c r="A57" t="s">
        <v>396</v>
      </c>
      <c r="B57" t="s">
        <v>397</v>
      </c>
      <c r="C57" t="s">
        <v>100</v>
      </c>
      <c r="D57" t="s">
        <v>399</v>
      </c>
      <c r="E57" t="s">
        <v>398</v>
      </c>
      <c r="F57">
        <v>1992</v>
      </c>
      <c r="G57" t="s">
        <v>78</v>
      </c>
      <c r="H57" t="s">
        <v>86</v>
      </c>
      <c r="I57">
        <v>2</v>
      </c>
      <c r="J57" t="s">
        <v>83</v>
      </c>
    </row>
    <row r="58" spans="1:10" x14ac:dyDescent="0.25">
      <c r="A58" t="s">
        <v>84</v>
      </c>
      <c r="B58" t="s">
        <v>85</v>
      </c>
      <c r="C58" t="s">
        <v>87</v>
      </c>
      <c r="E58" t="s">
        <v>88</v>
      </c>
      <c r="F58">
        <v>1981</v>
      </c>
      <c r="G58" t="s">
        <v>78</v>
      </c>
      <c r="H58" t="s">
        <v>86</v>
      </c>
      <c r="I58">
        <v>3</v>
      </c>
      <c r="J58" t="s">
        <v>83</v>
      </c>
    </row>
    <row r="59" spans="1:10" x14ac:dyDescent="0.25">
      <c r="A59" t="s">
        <v>176</v>
      </c>
      <c r="B59" t="s">
        <v>177</v>
      </c>
      <c r="C59" t="s">
        <v>100</v>
      </c>
      <c r="D59" t="s">
        <v>178</v>
      </c>
      <c r="E59" t="s">
        <v>101</v>
      </c>
      <c r="F59">
        <v>1973</v>
      </c>
      <c r="G59" t="s">
        <v>78</v>
      </c>
      <c r="H59" t="s">
        <v>86</v>
      </c>
      <c r="I59">
        <v>3</v>
      </c>
      <c r="J59" t="s">
        <v>83</v>
      </c>
    </row>
    <row r="60" spans="1:10" x14ac:dyDescent="0.25">
      <c r="A60" t="s">
        <v>210</v>
      </c>
      <c r="B60" t="s">
        <v>211</v>
      </c>
      <c r="C60" t="s">
        <v>100</v>
      </c>
      <c r="D60" t="s">
        <v>125</v>
      </c>
      <c r="E60" t="s">
        <v>212</v>
      </c>
      <c r="F60">
        <v>1976</v>
      </c>
      <c r="G60" t="s">
        <v>78</v>
      </c>
      <c r="H60" t="s">
        <v>79</v>
      </c>
      <c r="I60">
        <v>3</v>
      </c>
      <c r="J60" t="s">
        <v>78</v>
      </c>
    </row>
    <row r="61" spans="1:10" x14ac:dyDescent="0.25">
      <c r="A61" t="s">
        <v>197</v>
      </c>
      <c r="B61" t="s">
        <v>227</v>
      </c>
      <c r="C61" t="s">
        <v>80</v>
      </c>
      <c r="D61" t="s">
        <v>229</v>
      </c>
      <c r="E61" t="s">
        <v>228</v>
      </c>
      <c r="F61">
        <v>1986</v>
      </c>
      <c r="G61" t="s">
        <v>78</v>
      </c>
      <c r="H61" t="s">
        <v>79</v>
      </c>
      <c r="I61">
        <v>3</v>
      </c>
      <c r="J61" t="s">
        <v>83</v>
      </c>
    </row>
    <row r="62" spans="1:10" x14ac:dyDescent="0.25">
      <c r="A62" t="s">
        <v>195</v>
      </c>
      <c r="B62" t="s">
        <v>230</v>
      </c>
      <c r="C62" t="s">
        <v>100</v>
      </c>
      <c r="E62" t="s">
        <v>101</v>
      </c>
      <c r="F62">
        <v>1985</v>
      </c>
      <c r="G62" t="s">
        <v>78</v>
      </c>
      <c r="H62" t="s">
        <v>79</v>
      </c>
      <c r="I62">
        <v>3</v>
      </c>
      <c r="J62" t="s">
        <v>78</v>
      </c>
    </row>
    <row r="63" spans="1:10" x14ac:dyDescent="0.25">
      <c r="A63" t="s">
        <v>231</v>
      </c>
      <c r="B63" t="s">
        <v>232</v>
      </c>
      <c r="C63" t="s">
        <v>100</v>
      </c>
      <c r="D63" t="s">
        <v>204</v>
      </c>
      <c r="E63" t="s">
        <v>101</v>
      </c>
      <c r="F63">
        <v>1973</v>
      </c>
      <c r="G63" t="s">
        <v>78</v>
      </c>
      <c r="H63" t="s">
        <v>86</v>
      </c>
      <c r="I63">
        <v>3</v>
      </c>
      <c r="J63" t="s">
        <v>78</v>
      </c>
    </row>
    <row r="64" spans="1:10" x14ac:dyDescent="0.25">
      <c r="A64" t="s">
        <v>266</v>
      </c>
      <c r="B64" t="s">
        <v>267</v>
      </c>
      <c r="C64" t="s">
        <v>100</v>
      </c>
      <c r="D64" t="s">
        <v>268</v>
      </c>
      <c r="E64" t="s">
        <v>101</v>
      </c>
      <c r="F64">
        <v>1987</v>
      </c>
      <c r="G64" t="s">
        <v>78</v>
      </c>
      <c r="H64" t="s">
        <v>86</v>
      </c>
      <c r="I64">
        <v>3</v>
      </c>
      <c r="J64" t="s">
        <v>83</v>
      </c>
    </row>
    <row r="65" spans="1:10" x14ac:dyDescent="0.25">
      <c r="A65" t="s">
        <v>293</v>
      </c>
      <c r="B65" t="s">
        <v>294</v>
      </c>
      <c r="C65" t="s">
        <v>100</v>
      </c>
      <c r="D65" t="s">
        <v>204</v>
      </c>
      <c r="E65" t="s">
        <v>101</v>
      </c>
      <c r="F65">
        <v>1990</v>
      </c>
      <c r="G65" t="s">
        <v>78</v>
      </c>
      <c r="H65" t="s">
        <v>86</v>
      </c>
      <c r="I65">
        <v>3</v>
      </c>
      <c r="J65" t="s">
        <v>78</v>
      </c>
    </row>
    <row r="66" spans="1:10" x14ac:dyDescent="0.25">
      <c r="A66" t="s">
        <v>295</v>
      </c>
      <c r="B66" t="s">
        <v>296</v>
      </c>
      <c r="C66" t="s">
        <v>100</v>
      </c>
      <c r="D66" t="s">
        <v>204</v>
      </c>
      <c r="E66" t="s">
        <v>101</v>
      </c>
      <c r="F66">
        <v>1990</v>
      </c>
      <c r="G66" t="s">
        <v>78</v>
      </c>
      <c r="H66" t="s">
        <v>86</v>
      </c>
      <c r="I66">
        <v>3</v>
      </c>
      <c r="J66" t="s">
        <v>78</v>
      </c>
    </row>
    <row r="67" spans="1:10" x14ac:dyDescent="0.25">
      <c r="A67" t="s">
        <v>332</v>
      </c>
      <c r="B67" t="s">
        <v>333</v>
      </c>
      <c r="C67" t="s">
        <v>100</v>
      </c>
      <c r="D67" t="s">
        <v>334</v>
      </c>
      <c r="E67" t="s">
        <v>101</v>
      </c>
      <c r="F67">
        <v>1983</v>
      </c>
      <c r="G67" t="s">
        <v>78</v>
      </c>
      <c r="H67" t="s">
        <v>86</v>
      </c>
      <c r="I67">
        <v>3</v>
      </c>
      <c r="J67" t="s">
        <v>78</v>
      </c>
    </row>
    <row r="68" spans="1:10" x14ac:dyDescent="0.25">
      <c r="A68" t="s">
        <v>341</v>
      </c>
      <c r="B68" t="s">
        <v>342</v>
      </c>
      <c r="C68" t="s">
        <v>91</v>
      </c>
      <c r="D68" t="s">
        <v>344</v>
      </c>
      <c r="E68" t="s">
        <v>343</v>
      </c>
      <c r="F68">
        <v>1991</v>
      </c>
      <c r="G68" t="s">
        <v>78</v>
      </c>
      <c r="H68" t="s">
        <v>86</v>
      </c>
      <c r="I68">
        <v>3</v>
      </c>
      <c r="J68" t="s">
        <v>83</v>
      </c>
    </row>
    <row r="69" spans="1:10" x14ac:dyDescent="0.25">
      <c r="A69" t="s">
        <v>349</v>
      </c>
      <c r="B69" t="s">
        <v>350</v>
      </c>
      <c r="C69" t="s">
        <v>91</v>
      </c>
      <c r="D69" t="s">
        <v>344</v>
      </c>
      <c r="E69" t="s">
        <v>343</v>
      </c>
      <c r="F69">
        <v>1993</v>
      </c>
      <c r="G69" t="s">
        <v>78</v>
      </c>
      <c r="H69" t="s">
        <v>86</v>
      </c>
      <c r="I69">
        <v>3</v>
      </c>
      <c r="J69" t="s">
        <v>83</v>
      </c>
    </row>
    <row r="70" spans="1:10" x14ac:dyDescent="0.25">
      <c r="A70" t="s">
        <v>353</v>
      </c>
      <c r="B70" t="s">
        <v>354</v>
      </c>
      <c r="C70" t="s">
        <v>100</v>
      </c>
      <c r="D70" t="s">
        <v>125</v>
      </c>
      <c r="E70" t="s">
        <v>101</v>
      </c>
      <c r="F70">
        <v>1984</v>
      </c>
      <c r="G70" t="s">
        <v>78</v>
      </c>
      <c r="H70" t="s">
        <v>86</v>
      </c>
      <c r="I70">
        <v>3</v>
      </c>
      <c r="J70" t="s">
        <v>78</v>
      </c>
    </row>
    <row r="71" spans="1:10" x14ac:dyDescent="0.25">
      <c r="A71" t="s">
        <v>362</v>
      </c>
      <c r="B71" t="s">
        <v>363</v>
      </c>
      <c r="C71" t="s">
        <v>100</v>
      </c>
      <c r="D71" t="s">
        <v>335</v>
      </c>
      <c r="E71" t="s">
        <v>101</v>
      </c>
      <c r="F71">
        <v>1992</v>
      </c>
      <c r="G71" t="s">
        <v>78</v>
      </c>
      <c r="H71" t="s">
        <v>79</v>
      </c>
      <c r="I71">
        <v>3</v>
      </c>
      <c r="J71" t="s">
        <v>83</v>
      </c>
    </row>
    <row r="72" spans="1:10" x14ac:dyDescent="0.25">
      <c r="A72" t="s">
        <v>369</v>
      </c>
      <c r="B72" t="s">
        <v>370</v>
      </c>
      <c r="C72" t="s">
        <v>100</v>
      </c>
      <c r="D72" t="s">
        <v>105</v>
      </c>
      <c r="E72" t="s">
        <v>371</v>
      </c>
      <c r="F72">
        <v>2002</v>
      </c>
      <c r="G72" t="s">
        <v>281</v>
      </c>
      <c r="H72" t="s">
        <v>79</v>
      </c>
      <c r="I72">
        <v>3</v>
      </c>
      <c r="J72" t="s">
        <v>78</v>
      </c>
    </row>
    <row r="73" spans="1:10" x14ac:dyDescent="0.25">
      <c r="A73" t="s">
        <v>130</v>
      </c>
      <c r="B73" t="s">
        <v>376</v>
      </c>
      <c r="C73" t="s">
        <v>100</v>
      </c>
      <c r="D73" t="s">
        <v>115</v>
      </c>
      <c r="E73" t="s">
        <v>101</v>
      </c>
      <c r="F73">
        <v>2000</v>
      </c>
      <c r="G73" t="s">
        <v>185</v>
      </c>
      <c r="H73" t="s">
        <v>86</v>
      </c>
      <c r="I73">
        <v>3</v>
      </c>
      <c r="J73" t="s">
        <v>83</v>
      </c>
    </row>
    <row r="74" spans="1:10" x14ac:dyDescent="0.25">
      <c r="A74" t="s">
        <v>136</v>
      </c>
      <c r="B74" t="s">
        <v>405</v>
      </c>
      <c r="C74" t="s">
        <v>100</v>
      </c>
      <c r="E74" t="s">
        <v>101</v>
      </c>
      <c r="F74">
        <v>1998</v>
      </c>
      <c r="G74" t="s">
        <v>104</v>
      </c>
      <c r="H74" t="s">
        <v>86</v>
      </c>
      <c r="I74">
        <v>3</v>
      </c>
      <c r="J74" t="s">
        <v>78</v>
      </c>
    </row>
    <row r="75" spans="1:10" x14ac:dyDescent="0.25">
      <c r="A75" t="s">
        <v>102</v>
      </c>
      <c r="B75" t="s">
        <v>103</v>
      </c>
      <c r="C75" t="s">
        <v>100</v>
      </c>
      <c r="D75" t="s">
        <v>105</v>
      </c>
      <c r="E75" t="s">
        <v>101</v>
      </c>
      <c r="F75">
        <v>1998</v>
      </c>
      <c r="G75" t="s">
        <v>104</v>
      </c>
      <c r="H75" t="s">
        <v>86</v>
      </c>
      <c r="I75">
        <v>4</v>
      </c>
      <c r="J75" t="s">
        <v>83</v>
      </c>
    </row>
    <row r="76" spans="1:10" x14ac:dyDescent="0.25">
      <c r="A76" t="s">
        <v>130</v>
      </c>
      <c r="B76" t="s">
        <v>131</v>
      </c>
      <c r="C76" t="s">
        <v>100</v>
      </c>
      <c r="D76" t="s">
        <v>105</v>
      </c>
      <c r="E76" t="s">
        <v>101</v>
      </c>
      <c r="F76">
        <v>1991</v>
      </c>
      <c r="G76" t="s">
        <v>78</v>
      </c>
      <c r="H76" t="s">
        <v>86</v>
      </c>
      <c r="I76">
        <v>4</v>
      </c>
      <c r="J76" t="s">
        <v>83</v>
      </c>
    </row>
    <row r="77" spans="1:10" x14ac:dyDescent="0.25">
      <c r="A77" t="s">
        <v>136</v>
      </c>
      <c r="B77" t="s">
        <v>141</v>
      </c>
      <c r="C77" t="s">
        <v>100</v>
      </c>
      <c r="D77" t="s">
        <v>143</v>
      </c>
      <c r="E77" t="s">
        <v>142</v>
      </c>
      <c r="F77">
        <v>1991</v>
      </c>
      <c r="G77" t="s">
        <v>78</v>
      </c>
      <c r="H77" t="s">
        <v>86</v>
      </c>
      <c r="I77">
        <v>4</v>
      </c>
      <c r="J77" t="s">
        <v>83</v>
      </c>
    </row>
    <row r="78" spans="1:10" x14ac:dyDescent="0.25">
      <c r="A78" t="s">
        <v>144</v>
      </c>
      <c r="B78" t="s">
        <v>145</v>
      </c>
      <c r="C78" t="s">
        <v>80</v>
      </c>
      <c r="D78" t="s">
        <v>146</v>
      </c>
      <c r="E78" t="s">
        <v>108</v>
      </c>
      <c r="F78">
        <v>1992</v>
      </c>
      <c r="G78" t="s">
        <v>78</v>
      </c>
      <c r="H78" t="s">
        <v>79</v>
      </c>
      <c r="I78">
        <v>4</v>
      </c>
      <c r="J78" t="s">
        <v>83</v>
      </c>
    </row>
    <row r="79" spans="1:10" x14ac:dyDescent="0.25">
      <c r="A79" t="s">
        <v>156</v>
      </c>
      <c r="B79" t="s">
        <v>157</v>
      </c>
      <c r="C79" t="s">
        <v>80</v>
      </c>
      <c r="D79" t="s">
        <v>158</v>
      </c>
      <c r="E79" t="s">
        <v>108</v>
      </c>
      <c r="F79">
        <v>1995</v>
      </c>
      <c r="G79" t="s">
        <v>78</v>
      </c>
      <c r="H79" t="s">
        <v>79</v>
      </c>
      <c r="I79">
        <v>4</v>
      </c>
      <c r="J79" t="s">
        <v>83</v>
      </c>
    </row>
    <row r="80" spans="1:10" x14ac:dyDescent="0.25">
      <c r="A80" t="s">
        <v>159</v>
      </c>
      <c r="B80" t="s">
        <v>160</v>
      </c>
      <c r="C80" t="s">
        <v>87</v>
      </c>
      <c r="D80" t="s">
        <v>162</v>
      </c>
      <c r="E80" t="s">
        <v>161</v>
      </c>
      <c r="F80">
        <v>1984</v>
      </c>
      <c r="G80" t="s">
        <v>78</v>
      </c>
      <c r="H80" t="s">
        <v>86</v>
      </c>
      <c r="I80">
        <v>4</v>
      </c>
      <c r="J80" t="s">
        <v>78</v>
      </c>
    </row>
    <row r="81" spans="1:10" x14ac:dyDescent="0.25">
      <c r="A81" t="s">
        <v>167</v>
      </c>
      <c r="B81" t="s">
        <v>168</v>
      </c>
      <c r="C81" t="s">
        <v>80</v>
      </c>
      <c r="D81" t="s">
        <v>82</v>
      </c>
      <c r="E81" t="s">
        <v>108</v>
      </c>
      <c r="F81">
        <v>1995</v>
      </c>
      <c r="G81" t="s">
        <v>78</v>
      </c>
      <c r="H81" t="s">
        <v>79</v>
      </c>
      <c r="I81">
        <v>4</v>
      </c>
      <c r="J81" t="s">
        <v>83</v>
      </c>
    </row>
    <row r="82" spans="1:10" x14ac:dyDescent="0.25">
      <c r="A82" t="s">
        <v>184</v>
      </c>
      <c r="B82" t="s">
        <v>150</v>
      </c>
      <c r="C82" t="s">
        <v>100</v>
      </c>
      <c r="D82" t="s">
        <v>186</v>
      </c>
      <c r="E82" t="s">
        <v>101</v>
      </c>
      <c r="F82">
        <v>2000</v>
      </c>
      <c r="G82" t="s">
        <v>185</v>
      </c>
      <c r="H82" t="s">
        <v>79</v>
      </c>
      <c r="I82">
        <v>4</v>
      </c>
      <c r="J82" t="s">
        <v>78</v>
      </c>
    </row>
    <row r="83" spans="1:10" x14ac:dyDescent="0.25">
      <c r="A83" t="s">
        <v>187</v>
      </c>
      <c r="B83" t="s">
        <v>188</v>
      </c>
      <c r="C83" t="s">
        <v>91</v>
      </c>
      <c r="D83" t="s">
        <v>190</v>
      </c>
      <c r="E83" t="s">
        <v>189</v>
      </c>
      <c r="F83">
        <v>1981</v>
      </c>
      <c r="G83" t="s">
        <v>78</v>
      </c>
      <c r="H83" t="s">
        <v>79</v>
      </c>
      <c r="I83">
        <v>4</v>
      </c>
      <c r="J83" t="s">
        <v>78</v>
      </c>
    </row>
    <row r="84" spans="1:10" x14ac:dyDescent="0.25">
      <c r="A84" t="s">
        <v>191</v>
      </c>
      <c r="B84" t="s">
        <v>192</v>
      </c>
      <c r="C84" t="s">
        <v>91</v>
      </c>
      <c r="D84" t="s">
        <v>194</v>
      </c>
      <c r="E84" t="s">
        <v>193</v>
      </c>
      <c r="F84">
        <v>1980</v>
      </c>
      <c r="G84" t="s">
        <v>78</v>
      </c>
      <c r="H84" t="s">
        <v>86</v>
      </c>
      <c r="I84">
        <v>4</v>
      </c>
      <c r="J84" t="s">
        <v>83</v>
      </c>
    </row>
    <row r="85" spans="1:10" x14ac:dyDescent="0.25">
      <c r="A85" t="s">
        <v>195</v>
      </c>
      <c r="B85" t="s">
        <v>196</v>
      </c>
      <c r="C85" t="s">
        <v>91</v>
      </c>
      <c r="D85" t="s">
        <v>194</v>
      </c>
      <c r="E85" t="s">
        <v>193</v>
      </c>
      <c r="F85">
        <v>1989</v>
      </c>
      <c r="G85" t="s">
        <v>78</v>
      </c>
      <c r="H85" t="s">
        <v>79</v>
      </c>
      <c r="I85">
        <v>4</v>
      </c>
      <c r="J85" t="s">
        <v>83</v>
      </c>
    </row>
    <row r="86" spans="1:10" x14ac:dyDescent="0.25">
      <c r="A86" t="s">
        <v>197</v>
      </c>
      <c r="B86" t="s">
        <v>198</v>
      </c>
      <c r="C86" t="s">
        <v>91</v>
      </c>
      <c r="F86">
        <v>1989</v>
      </c>
      <c r="G86" t="s">
        <v>78</v>
      </c>
      <c r="H86" t="s">
        <v>79</v>
      </c>
      <c r="I86">
        <v>4</v>
      </c>
      <c r="J86" t="s">
        <v>83</v>
      </c>
    </row>
    <row r="87" spans="1:10" x14ac:dyDescent="0.25">
      <c r="A87" t="s">
        <v>207</v>
      </c>
      <c r="B87" t="s">
        <v>208</v>
      </c>
      <c r="C87" t="s">
        <v>80</v>
      </c>
      <c r="D87" t="s">
        <v>209</v>
      </c>
      <c r="E87" t="s">
        <v>108</v>
      </c>
      <c r="F87">
        <v>1988</v>
      </c>
      <c r="G87" t="s">
        <v>78</v>
      </c>
      <c r="H87" t="s">
        <v>86</v>
      </c>
      <c r="I87">
        <v>4</v>
      </c>
      <c r="J87" t="s">
        <v>83</v>
      </c>
    </row>
    <row r="88" spans="1:10" x14ac:dyDescent="0.25">
      <c r="A88" t="s">
        <v>219</v>
      </c>
      <c r="B88" t="s">
        <v>220</v>
      </c>
      <c r="C88" t="s">
        <v>80</v>
      </c>
      <c r="D88" t="s">
        <v>221</v>
      </c>
      <c r="E88" t="s">
        <v>81</v>
      </c>
      <c r="F88">
        <v>1992</v>
      </c>
      <c r="G88" t="s">
        <v>78</v>
      </c>
      <c r="H88" t="s">
        <v>86</v>
      </c>
      <c r="I88">
        <v>4</v>
      </c>
      <c r="J88" t="s">
        <v>83</v>
      </c>
    </row>
    <row r="89" spans="1:10" x14ac:dyDescent="0.25">
      <c r="A89" t="s">
        <v>249</v>
      </c>
      <c r="B89" t="s">
        <v>250</v>
      </c>
      <c r="C89" t="s">
        <v>100</v>
      </c>
      <c r="E89" t="s">
        <v>251</v>
      </c>
      <c r="F89">
        <v>1989</v>
      </c>
      <c r="G89" t="s">
        <v>78</v>
      </c>
      <c r="H89" t="s">
        <v>86</v>
      </c>
      <c r="I89">
        <v>4</v>
      </c>
      <c r="J89" t="s">
        <v>83</v>
      </c>
    </row>
    <row r="90" spans="1:10" x14ac:dyDescent="0.25">
      <c r="A90" t="s">
        <v>258</v>
      </c>
      <c r="B90" t="s">
        <v>259</v>
      </c>
      <c r="C90" t="s">
        <v>224</v>
      </c>
      <c r="E90" t="s">
        <v>256</v>
      </c>
      <c r="F90">
        <v>1992</v>
      </c>
      <c r="G90" t="s">
        <v>78</v>
      </c>
      <c r="H90" t="s">
        <v>86</v>
      </c>
      <c r="I90">
        <v>4</v>
      </c>
      <c r="J90" t="s">
        <v>83</v>
      </c>
    </row>
    <row r="91" spans="1:10" x14ac:dyDescent="0.25">
      <c r="A91" t="s">
        <v>236</v>
      </c>
      <c r="B91" t="s">
        <v>260</v>
      </c>
      <c r="C91" t="s">
        <v>224</v>
      </c>
      <c r="D91" t="s">
        <v>257</v>
      </c>
      <c r="E91" t="s">
        <v>256</v>
      </c>
      <c r="F91">
        <v>1994</v>
      </c>
      <c r="G91" t="s">
        <v>78</v>
      </c>
      <c r="H91" t="s">
        <v>79</v>
      </c>
      <c r="I91">
        <v>4</v>
      </c>
      <c r="J91" t="s">
        <v>83</v>
      </c>
    </row>
    <row r="92" spans="1:10" x14ac:dyDescent="0.25">
      <c r="A92" t="s">
        <v>261</v>
      </c>
      <c r="B92" t="s">
        <v>262</v>
      </c>
      <c r="C92" t="s">
        <v>80</v>
      </c>
      <c r="D92" t="s">
        <v>263</v>
      </c>
      <c r="E92" t="s">
        <v>81</v>
      </c>
      <c r="F92">
        <v>1981</v>
      </c>
      <c r="G92" t="s">
        <v>78</v>
      </c>
      <c r="H92" t="s">
        <v>86</v>
      </c>
      <c r="I92">
        <v>4</v>
      </c>
      <c r="J92" t="s">
        <v>83</v>
      </c>
    </row>
    <row r="93" spans="1:10" x14ac:dyDescent="0.25">
      <c r="A93" t="s">
        <v>277</v>
      </c>
      <c r="B93" t="s">
        <v>278</v>
      </c>
      <c r="C93" t="s">
        <v>80</v>
      </c>
      <c r="D93" t="s">
        <v>263</v>
      </c>
      <c r="E93" t="s">
        <v>228</v>
      </c>
      <c r="F93">
        <v>1998</v>
      </c>
      <c r="G93" t="s">
        <v>104</v>
      </c>
      <c r="H93" t="s">
        <v>86</v>
      </c>
      <c r="I93">
        <v>4</v>
      </c>
      <c r="J93" t="s">
        <v>83</v>
      </c>
    </row>
    <row r="94" spans="1:10" x14ac:dyDescent="0.25">
      <c r="A94" t="s">
        <v>303</v>
      </c>
      <c r="B94" t="s">
        <v>304</v>
      </c>
      <c r="C94" t="s">
        <v>91</v>
      </c>
      <c r="D94" t="s">
        <v>305</v>
      </c>
      <c r="E94" t="s">
        <v>299</v>
      </c>
      <c r="F94">
        <v>1986</v>
      </c>
      <c r="G94" t="s">
        <v>78</v>
      </c>
      <c r="H94" t="s">
        <v>79</v>
      </c>
      <c r="I94">
        <v>4</v>
      </c>
      <c r="J94" t="s">
        <v>78</v>
      </c>
    </row>
    <row r="95" spans="1:10" x14ac:dyDescent="0.25">
      <c r="A95" t="s">
        <v>321</v>
      </c>
      <c r="B95" t="s">
        <v>322</v>
      </c>
      <c r="C95" t="s">
        <v>100</v>
      </c>
      <c r="D95" t="s">
        <v>125</v>
      </c>
      <c r="E95" t="s">
        <v>101</v>
      </c>
      <c r="F95">
        <v>1989</v>
      </c>
      <c r="G95" t="s">
        <v>78</v>
      </c>
      <c r="H95" t="s">
        <v>86</v>
      </c>
      <c r="I95">
        <v>4</v>
      </c>
      <c r="J95" t="s">
        <v>78</v>
      </c>
    </row>
    <row r="96" spans="1:10" x14ac:dyDescent="0.25">
      <c r="A96" t="s">
        <v>351</v>
      </c>
      <c r="B96" t="s">
        <v>352</v>
      </c>
      <c r="C96" t="s">
        <v>80</v>
      </c>
      <c r="D96" t="s">
        <v>82</v>
      </c>
      <c r="E96" t="s">
        <v>228</v>
      </c>
      <c r="F96">
        <v>2002</v>
      </c>
      <c r="G96" t="s">
        <v>281</v>
      </c>
      <c r="H96" t="s">
        <v>86</v>
      </c>
      <c r="I96">
        <v>4</v>
      </c>
      <c r="J96" t="s">
        <v>83</v>
      </c>
    </row>
    <row r="97" spans="1:10" x14ac:dyDescent="0.25">
      <c r="A97" t="s">
        <v>355</v>
      </c>
      <c r="B97" t="s">
        <v>356</v>
      </c>
      <c r="C97" t="s">
        <v>80</v>
      </c>
      <c r="D97" t="s">
        <v>357</v>
      </c>
      <c r="E97" t="s">
        <v>108</v>
      </c>
      <c r="F97">
        <v>1997</v>
      </c>
      <c r="G97" t="s">
        <v>35</v>
      </c>
      <c r="H97" t="s">
        <v>86</v>
      </c>
      <c r="I97">
        <v>4</v>
      </c>
      <c r="J97" t="s">
        <v>83</v>
      </c>
    </row>
    <row r="98" spans="1:10" x14ac:dyDescent="0.25">
      <c r="A98" t="s">
        <v>360</v>
      </c>
      <c r="B98" t="s">
        <v>361</v>
      </c>
      <c r="C98" t="s">
        <v>100</v>
      </c>
      <c r="D98" t="s">
        <v>338</v>
      </c>
      <c r="E98" t="s">
        <v>101</v>
      </c>
      <c r="F98">
        <v>2003</v>
      </c>
      <c r="G98" t="s">
        <v>281</v>
      </c>
      <c r="H98" t="s">
        <v>79</v>
      </c>
      <c r="I98">
        <v>4</v>
      </c>
      <c r="J98" t="s">
        <v>78</v>
      </c>
    </row>
    <row r="99" spans="1:10" x14ac:dyDescent="0.25">
      <c r="A99" t="s">
        <v>110</v>
      </c>
      <c r="B99" t="s">
        <v>111</v>
      </c>
      <c r="C99" t="s">
        <v>100</v>
      </c>
      <c r="D99" t="s">
        <v>112</v>
      </c>
      <c r="E99" t="s">
        <v>109</v>
      </c>
      <c r="F99">
        <v>1981</v>
      </c>
      <c r="G99" t="s">
        <v>78</v>
      </c>
      <c r="H99" t="s">
        <v>79</v>
      </c>
      <c r="I99">
        <v>5</v>
      </c>
      <c r="J99" t="s">
        <v>83</v>
      </c>
    </row>
    <row r="100" spans="1:10" x14ac:dyDescent="0.25">
      <c r="A100" t="s">
        <v>156</v>
      </c>
      <c r="B100" t="s">
        <v>157</v>
      </c>
      <c r="C100" t="s">
        <v>80</v>
      </c>
      <c r="D100" t="s">
        <v>158</v>
      </c>
      <c r="E100" t="s">
        <v>108</v>
      </c>
      <c r="F100">
        <v>1995</v>
      </c>
      <c r="G100" t="s">
        <v>78</v>
      </c>
      <c r="H100" t="s">
        <v>79</v>
      </c>
      <c r="I100">
        <v>5</v>
      </c>
      <c r="J100" t="s">
        <v>83</v>
      </c>
    </row>
    <row r="101" spans="1:10" x14ac:dyDescent="0.25">
      <c r="A101" t="s">
        <v>205</v>
      </c>
      <c r="B101" t="s">
        <v>206</v>
      </c>
      <c r="C101" t="s">
        <v>87</v>
      </c>
      <c r="E101" t="s">
        <v>161</v>
      </c>
      <c r="F101">
        <v>1969</v>
      </c>
      <c r="G101" t="s">
        <v>78</v>
      </c>
      <c r="H101" t="s">
        <v>86</v>
      </c>
      <c r="I101">
        <v>5</v>
      </c>
      <c r="J101" t="s">
        <v>78</v>
      </c>
    </row>
    <row r="102" spans="1:10" x14ac:dyDescent="0.25">
      <c r="A102" t="s">
        <v>222</v>
      </c>
      <c r="B102" t="s">
        <v>223</v>
      </c>
      <c r="C102" t="s">
        <v>224</v>
      </c>
      <c r="D102" t="s">
        <v>226</v>
      </c>
      <c r="E102" t="s">
        <v>225</v>
      </c>
      <c r="F102">
        <v>1985</v>
      </c>
      <c r="G102" t="s">
        <v>78</v>
      </c>
      <c r="H102" t="s">
        <v>86</v>
      </c>
      <c r="I102">
        <v>5</v>
      </c>
      <c r="J102" t="s">
        <v>83</v>
      </c>
    </row>
    <row r="103" spans="1:10" x14ac:dyDescent="0.25">
      <c r="A103" t="s">
        <v>238</v>
      </c>
      <c r="B103" t="s">
        <v>239</v>
      </c>
      <c r="C103" t="s">
        <v>80</v>
      </c>
      <c r="D103" t="s">
        <v>82</v>
      </c>
      <c r="E103" t="s">
        <v>81</v>
      </c>
      <c r="F103">
        <v>1987</v>
      </c>
      <c r="G103" t="s">
        <v>78</v>
      </c>
      <c r="H103" t="s">
        <v>86</v>
      </c>
      <c r="I103">
        <v>5</v>
      </c>
      <c r="J103" t="s">
        <v>78</v>
      </c>
    </row>
    <row r="104" spans="1:10" x14ac:dyDescent="0.25">
      <c r="A104" t="s">
        <v>240</v>
      </c>
      <c r="B104" t="s">
        <v>241</v>
      </c>
      <c r="C104" t="s">
        <v>80</v>
      </c>
      <c r="D104" t="s">
        <v>243</v>
      </c>
      <c r="E104" t="s">
        <v>242</v>
      </c>
      <c r="F104">
        <v>1992</v>
      </c>
      <c r="G104" t="s">
        <v>78</v>
      </c>
      <c r="H104" t="s">
        <v>79</v>
      </c>
      <c r="I104">
        <v>5</v>
      </c>
      <c r="J104" t="s">
        <v>78</v>
      </c>
    </row>
    <row r="105" spans="1:10" x14ac:dyDescent="0.25">
      <c r="A105" t="s">
        <v>217</v>
      </c>
      <c r="B105" t="s">
        <v>124</v>
      </c>
      <c r="C105" t="s">
        <v>100</v>
      </c>
      <c r="E105" t="s">
        <v>101</v>
      </c>
      <c r="F105">
        <v>1977</v>
      </c>
      <c r="G105" t="s">
        <v>78</v>
      </c>
      <c r="H105" t="s">
        <v>79</v>
      </c>
      <c r="I105">
        <v>5</v>
      </c>
      <c r="J105" t="s">
        <v>78</v>
      </c>
    </row>
    <row r="106" spans="1:10" x14ac:dyDescent="0.25">
      <c r="A106" t="s">
        <v>254</v>
      </c>
      <c r="B106" t="s">
        <v>255</v>
      </c>
      <c r="C106" t="s">
        <v>224</v>
      </c>
      <c r="D106" t="s">
        <v>257</v>
      </c>
      <c r="E106" t="s">
        <v>256</v>
      </c>
      <c r="F106">
        <v>1976</v>
      </c>
      <c r="G106" t="s">
        <v>78</v>
      </c>
      <c r="H106" t="s">
        <v>86</v>
      </c>
      <c r="I106">
        <v>5</v>
      </c>
      <c r="J106" t="s">
        <v>78</v>
      </c>
    </row>
    <row r="107" spans="1:10" x14ac:dyDescent="0.25">
      <c r="A107" t="s">
        <v>269</v>
      </c>
      <c r="B107" t="s">
        <v>270</v>
      </c>
      <c r="C107" t="s">
        <v>100</v>
      </c>
      <c r="D107" t="s">
        <v>272</v>
      </c>
      <c r="E107" t="s">
        <v>271</v>
      </c>
      <c r="F107">
        <v>1981</v>
      </c>
      <c r="G107" t="s">
        <v>78</v>
      </c>
      <c r="H107" t="s">
        <v>86</v>
      </c>
      <c r="I107">
        <v>5</v>
      </c>
      <c r="J107" t="s">
        <v>78</v>
      </c>
    </row>
    <row r="108" spans="1:10" x14ac:dyDescent="0.25">
      <c r="A108" t="s">
        <v>273</v>
      </c>
      <c r="B108" t="s">
        <v>274</v>
      </c>
      <c r="C108" t="s">
        <v>224</v>
      </c>
      <c r="D108" t="s">
        <v>276</v>
      </c>
      <c r="E108" t="s">
        <v>275</v>
      </c>
      <c r="F108">
        <v>1997</v>
      </c>
      <c r="G108" t="s">
        <v>35</v>
      </c>
      <c r="H108" t="s">
        <v>86</v>
      </c>
      <c r="I108">
        <v>5</v>
      </c>
      <c r="J108" t="s">
        <v>83</v>
      </c>
    </row>
    <row r="109" spans="1:10" x14ac:dyDescent="0.25">
      <c r="A109" t="s">
        <v>279</v>
      </c>
      <c r="B109" t="s">
        <v>280</v>
      </c>
      <c r="C109" t="s">
        <v>80</v>
      </c>
      <c r="D109" t="s">
        <v>158</v>
      </c>
      <c r="E109" t="s">
        <v>108</v>
      </c>
      <c r="F109">
        <v>2007</v>
      </c>
      <c r="G109" t="s">
        <v>281</v>
      </c>
      <c r="H109" t="s">
        <v>86</v>
      </c>
      <c r="I109">
        <v>5</v>
      </c>
      <c r="J109" t="s">
        <v>83</v>
      </c>
    </row>
    <row r="110" spans="1:10" x14ac:dyDescent="0.25">
      <c r="A110" t="s">
        <v>282</v>
      </c>
      <c r="B110" t="s">
        <v>283</v>
      </c>
      <c r="C110" t="s">
        <v>80</v>
      </c>
      <c r="D110" t="s">
        <v>285</v>
      </c>
      <c r="E110" t="s">
        <v>284</v>
      </c>
      <c r="F110">
        <v>2000</v>
      </c>
      <c r="G110" t="s">
        <v>185</v>
      </c>
      <c r="H110" t="s">
        <v>79</v>
      </c>
      <c r="I110">
        <v>5</v>
      </c>
      <c r="J110" t="s">
        <v>83</v>
      </c>
    </row>
    <row r="111" spans="1:10" x14ac:dyDescent="0.25">
      <c r="A111" t="s">
        <v>286</v>
      </c>
      <c r="B111" t="s">
        <v>287</v>
      </c>
      <c r="C111" t="s">
        <v>80</v>
      </c>
      <c r="D111" t="s">
        <v>288</v>
      </c>
      <c r="E111" t="s">
        <v>108</v>
      </c>
      <c r="F111">
        <v>2001</v>
      </c>
      <c r="G111" t="s">
        <v>185</v>
      </c>
      <c r="H111" t="s">
        <v>86</v>
      </c>
      <c r="I111">
        <v>5</v>
      </c>
      <c r="J111" t="s">
        <v>83</v>
      </c>
    </row>
    <row r="112" spans="1:10" x14ac:dyDescent="0.25">
      <c r="A112" t="s">
        <v>306</v>
      </c>
      <c r="B112" t="s">
        <v>278</v>
      </c>
      <c r="C112" t="s">
        <v>80</v>
      </c>
      <c r="D112" t="s">
        <v>263</v>
      </c>
      <c r="E112" t="s">
        <v>81</v>
      </c>
      <c r="F112">
        <v>2004</v>
      </c>
      <c r="G112" t="s">
        <v>281</v>
      </c>
      <c r="H112" t="s">
        <v>79</v>
      </c>
      <c r="I112">
        <v>5</v>
      </c>
      <c r="J112" t="s">
        <v>83</v>
      </c>
    </row>
    <row r="113" spans="1:10" x14ac:dyDescent="0.25">
      <c r="A113" t="s">
        <v>307</v>
      </c>
      <c r="B113" t="s">
        <v>308</v>
      </c>
      <c r="C113" t="s">
        <v>80</v>
      </c>
      <c r="D113" t="s">
        <v>263</v>
      </c>
      <c r="E113" t="s">
        <v>81</v>
      </c>
      <c r="F113">
        <v>2001</v>
      </c>
      <c r="G113" t="s">
        <v>185</v>
      </c>
      <c r="H113" t="s">
        <v>79</v>
      </c>
      <c r="I113">
        <v>5</v>
      </c>
      <c r="J113" t="s">
        <v>83</v>
      </c>
    </row>
    <row r="114" spans="1:10" x14ac:dyDescent="0.25">
      <c r="A114" t="s">
        <v>309</v>
      </c>
      <c r="B114" t="s">
        <v>310</v>
      </c>
      <c r="C114" t="s">
        <v>80</v>
      </c>
      <c r="D114" t="s">
        <v>263</v>
      </c>
      <c r="E114" t="s">
        <v>81</v>
      </c>
      <c r="F114">
        <v>2003</v>
      </c>
      <c r="G114" t="s">
        <v>281</v>
      </c>
      <c r="H114" t="s">
        <v>86</v>
      </c>
      <c r="I114">
        <v>5</v>
      </c>
      <c r="J114" t="s">
        <v>83</v>
      </c>
    </row>
    <row r="115" spans="1:10" x14ac:dyDescent="0.25">
      <c r="A115" t="s">
        <v>311</v>
      </c>
      <c r="B115" t="s">
        <v>312</v>
      </c>
      <c r="C115" t="s">
        <v>80</v>
      </c>
      <c r="D115" t="s">
        <v>263</v>
      </c>
      <c r="E115" t="s">
        <v>81</v>
      </c>
      <c r="F115">
        <v>2004</v>
      </c>
      <c r="G115" t="s">
        <v>281</v>
      </c>
      <c r="H115" t="s">
        <v>79</v>
      </c>
      <c r="I115">
        <v>5</v>
      </c>
      <c r="J115" t="s">
        <v>83</v>
      </c>
    </row>
    <row r="116" spans="1:10" x14ac:dyDescent="0.25">
      <c r="A116" t="s">
        <v>313</v>
      </c>
      <c r="B116" t="s">
        <v>314</v>
      </c>
      <c r="C116" t="s">
        <v>80</v>
      </c>
      <c r="D116" t="s">
        <v>288</v>
      </c>
      <c r="E116" t="s">
        <v>108</v>
      </c>
      <c r="F116">
        <v>2002</v>
      </c>
      <c r="G116" t="s">
        <v>281</v>
      </c>
      <c r="H116" t="s">
        <v>79</v>
      </c>
      <c r="I116">
        <v>5</v>
      </c>
      <c r="J116" t="s">
        <v>83</v>
      </c>
    </row>
    <row r="117" spans="1:10" x14ac:dyDescent="0.25">
      <c r="A117" t="s">
        <v>315</v>
      </c>
      <c r="B117" t="s">
        <v>316</v>
      </c>
      <c r="C117" t="s">
        <v>224</v>
      </c>
      <c r="E117" t="s">
        <v>256</v>
      </c>
      <c r="F117">
        <v>1993</v>
      </c>
      <c r="G117" t="s">
        <v>78</v>
      </c>
      <c r="H117" t="s">
        <v>79</v>
      </c>
      <c r="I117">
        <v>5</v>
      </c>
      <c r="J117" t="s">
        <v>83</v>
      </c>
    </row>
    <row r="118" spans="1:10" x14ac:dyDescent="0.25">
      <c r="A118" t="s">
        <v>317</v>
      </c>
      <c r="B118" t="s">
        <v>318</v>
      </c>
      <c r="C118" t="s">
        <v>87</v>
      </c>
      <c r="E118" t="s">
        <v>161</v>
      </c>
      <c r="F118">
        <v>1984</v>
      </c>
      <c r="G118" t="s">
        <v>78</v>
      </c>
      <c r="H118" t="s">
        <v>79</v>
      </c>
      <c r="I118">
        <v>5</v>
      </c>
      <c r="J118" t="s">
        <v>78</v>
      </c>
    </row>
    <row r="119" spans="1:10" x14ac:dyDescent="0.25">
      <c r="A119" t="s">
        <v>130</v>
      </c>
      <c r="B119" t="s">
        <v>323</v>
      </c>
      <c r="C119" t="s">
        <v>100</v>
      </c>
      <c r="D119" t="s">
        <v>143</v>
      </c>
      <c r="E119" t="s">
        <v>142</v>
      </c>
      <c r="F119">
        <v>1993</v>
      </c>
      <c r="G119" t="s">
        <v>78</v>
      </c>
      <c r="H119" t="s">
        <v>86</v>
      </c>
      <c r="I119">
        <v>5</v>
      </c>
      <c r="J119" t="s">
        <v>78</v>
      </c>
    </row>
    <row r="120" spans="1:10" x14ac:dyDescent="0.25">
      <c r="A120" t="s">
        <v>324</v>
      </c>
      <c r="B120" t="s">
        <v>325</v>
      </c>
      <c r="C120" t="s">
        <v>80</v>
      </c>
      <c r="D120" t="s">
        <v>288</v>
      </c>
      <c r="E120" t="s">
        <v>108</v>
      </c>
      <c r="F120">
        <v>2000</v>
      </c>
      <c r="G120" t="s">
        <v>185</v>
      </c>
      <c r="H120" t="s">
        <v>79</v>
      </c>
      <c r="I120">
        <v>5</v>
      </c>
      <c r="J120" t="s">
        <v>83</v>
      </c>
    </row>
    <row r="121" spans="1:10" x14ac:dyDescent="0.25">
      <c r="A121" t="s">
        <v>326</v>
      </c>
      <c r="B121" t="s">
        <v>327</v>
      </c>
      <c r="C121" t="s">
        <v>80</v>
      </c>
      <c r="D121" t="s">
        <v>158</v>
      </c>
      <c r="E121" t="s">
        <v>108</v>
      </c>
      <c r="F121">
        <v>2002</v>
      </c>
      <c r="G121" t="s">
        <v>281</v>
      </c>
      <c r="H121" t="s">
        <v>79</v>
      </c>
      <c r="I121">
        <v>5</v>
      </c>
      <c r="J121" t="s">
        <v>83</v>
      </c>
    </row>
    <row r="122" spans="1:10" x14ac:dyDescent="0.25">
      <c r="A122" t="s">
        <v>328</v>
      </c>
      <c r="B122" t="s">
        <v>329</v>
      </c>
      <c r="C122" t="s">
        <v>80</v>
      </c>
      <c r="D122" t="s">
        <v>158</v>
      </c>
      <c r="E122" t="s">
        <v>108</v>
      </c>
      <c r="F122">
        <v>2001</v>
      </c>
      <c r="G122" t="s">
        <v>185</v>
      </c>
      <c r="H122" t="s">
        <v>86</v>
      </c>
      <c r="I122">
        <v>5</v>
      </c>
      <c r="J122" t="s">
        <v>83</v>
      </c>
    </row>
    <row r="123" spans="1:10" x14ac:dyDescent="0.25">
      <c r="A123" t="s">
        <v>330</v>
      </c>
      <c r="B123" t="s">
        <v>331</v>
      </c>
      <c r="C123" t="s">
        <v>100</v>
      </c>
      <c r="D123" t="s">
        <v>272</v>
      </c>
      <c r="E123" t="s">
        <v>271</v>
      </c>
      <c r="F123">
        <v>2004</v>
      </c>
      <c r="G123" t="s">
        <v>281</v>
      </c>
      <c r="H123" t="s">
        <v>79</v>
      </c>
      <c r="I123">
        <v>5</v>
      </c>
      <c r="J123" t="s">
        <v>83</v>
      </c>
    </row>
    <row r="124" spans="1:10" x14ac:dyDescent="0.25">
      <c r="A124" t="s">
        <v>336</v>
      </c>
      <c r="B124" t="s">
        <v>337</v>
      </c>
      <c r="C124" t="s">
        <v>100</v>
      </c>
      <c r="D124" t="s">
        <v>338</v>
      </c>
      <c r="E124" t="s">
        <v>101</v>
      </c>
      <c r="F124">
        <v>2003</v>
      </c>
      <c r="G124" t="s">
        <v>281</v>
      </c>
      <c r="H124" t="s">
        <v>86</v>
      </c>
      <c r="I124">
        <v>5</v>
      </c>
      <c r="J124" t="s">
        <v>83</v>
      </c>
    </row>
    <row r="125" spans="1:10" x14ac:dyDescent="0.25">
      <c r="A125" t="s">
        <v>345</v>
      </c>
      <c r="B125" t="s">
        <v>346</v>
      </c>
      <c r="C125" t="s">
        <v>80</v>
      </c>
      <c r="D125" t="s">
        <v>263</v>
      </c>
      <c r="E125" t="s">
        <v>228</v>
      </c>
      <c r="F125">
        <v>2002</v>
      </c>
      <c r="G125" t="s">
        <v>281</v>
      </c>
      <c r="H125" t="s">
        <v>79</v>
      </c>
      <c r="I125">
        <v>5</v>
      </c>
      <c r="J125" t="s">
        <v>83</v>
      </c>
    </row>
    <row r="126" spans="1:10" x14ac:dyDescent="0.25">
      <c r="A126" t="s">
        <v>347</v>
      </c>
      <c r="B126" t="s">
        <v>348</v>
      </c>
      <c r="C126" t="s">
        <v>80</v>
      </c>
      <c r="D126" t="s">
        <v>263</v>
      </c>
      <c r="E126" t="s">
        <v>228</v>
      </c>
      <c r="F126">
        <v>2002</v>
      </c>
      <c r="G126" t="s">
        <v>281</v>
      </c>
      <c r="H126" t="s">
        <v>79</v>
      </c>
      <c r="I126">
        <v>5</v>
      </c>
      <c r="J126" t="s">
        <v>83</v>
      </c>
    </row>
    <row r="127" spans="1:10" x14ac:dyDescent="0.25">
      <c r="A127" t="s">
        <v>345</v>
      </c>
      <c r="B127" t="s">
        <v>346</v>
      </c>
      <c r="C127" t="s">
        <v>80</v>
      </c>
      <c r="D127" t="s">
        <v>263</v>
      </c>
      <c r="E127" t="s">
        <v>228</v>
      </c>
      <c r="F127">
        <v>2002</v>
      </c>
      <c r="G127" t="s">
        <v>281</v>
      </c>
      <c r="H127" t="s">
        <v>86</v>
      </c>
      <c r="I127">
        <v>5</v>
      </c>
      <c r="J127" t="s">
        <v>83</v>
      </c>
    </row>
    <row r="128" spans="1:10" x14ac:dyDescent="0.25">
      <c r="A128" t="s">
        <v>374</v>
      </c>
      <c r="B128" t="s">
        <v>375</v>
      </c>
      <c r="C128" t="s">
        <v>80</v>
      </c>
      <c r="D128" t="s">
        <v>288</v>
      </c>
      <c r="E128" t="s">
        <v>108</v>
      </c>
      <c r="F128">
        <v>1989</v>
      </c>
      <c r="G128" t="s">
        <v>78</v>
      </c>
      <c r="H128" t="s">
        <v>79</v>
      </c>
      <c r="I128">
        <v>5</v>
      </c>
      <c r="J128" t="s">
        <v>78</v>
      </c>
    </row>
    <row r="129" spans="1:10" x14ac:dyDescent="0.25">
      <c r="A129" t="s">
        <v>389</v>
      </c>
      <c r="B129" t="s">
        <v>390</v>
      </c>
      <c r="C129" t="s">
        <v>100</v>
      </c>
      <c r="D129" t="s">
        <v>391</v>
      </c>
      <c r="E129" t="s">
        <v>101</v>
      </c>
      <c r="F129">
        <v>1981</v>
      </c>
      <c r="G129" t="s">
        <v>78</v>
      </c>
      <c r="H129" t="s">
        <v>86</v>
      </c>
      <c r="I129">
        <v>5</v>
      </c>
      <c r="J129" t="s">
        <v>78</v>
      </c>
    </row>
    <row r="130" spans="1:10" x14ac:dyDescent="0.25">
      <c r="A130" t="s">
        <v>392</v>
      </c>
      <c r="B130" t="s">
        <v>393</v>
      </c>
      <c r="C130" t="s">
        <v>100</v>
      </c>
      <c r="E130" t="s">
        <v>101</v>
      </c>
      <c r="F130">
        <v>1993</v>
      </c>
      <c r="G130" t="s">
        <v>78</v>
      </c>
      <c r="H130" t="s">
        <v>79</v>
      </c>
      <c r="I130">
        <v>5</v>
      </c>
      <c r="J130" t="s">
        <v>78</v>
      </c>
    </row>
    <row r="131" spans="1:10" x14ac:dyDescent="0.25">
      <c r="A131" t="s">
        <v>394</v>
      </c>
      <c r="B131" t="s">
        <v>395</v>
      </c>
      <c r="C131" t="s">
        <v>100</v>
      </c>
      <c r="E131" t="s">
        <v>101</v>
      </c>
      <c r="F131">
        <v>1999</v>
      </c>
      <c r="G131" t="s">
        <v>104</v>
      </c>
      <c r="H131" t="s">
        <v>79</v>
      </c>
      <c r="I131">
        <v>5</v>
      </c>
      <c r="J131" t="s">
        <v>78</v>
      </c>
    </row>
    <row r="132" spans="1:10" x14ac:dyDescent="0.25">
      <c r="A132" t="s">
        <v>402</v>
      </c>
      <c r="B132" t="s">
        <v>403</v>
      </c>
      <c r="C132" t="s">
        <v>100</v>
      </c>
      <c r="D132" t="s">
        <v>338</v>
      </c>
      <c r="E132" t="s">
        <v>404</v>
      </c>
      <c r="F132">
        <v>2000</v>
      </c>
      <c r="G132" t="s">
        <v>185</v>
      </c>
      <c r="H132" t="s">
        <v>86</v>
      </c>
      <c r="I132">
        <v>5</v>
      </c>
      <c r="J132" t="s">
        <v>83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7" sqref="E17"/>
    </sheetView>
  </sheetViews>
  <sheetFormatPr defaultRowHeight="15" x14ac:dyDescent="0.25"/>
  <cols>
    <col min="2" max="2" width="3.140625" customWidth="1"/>
    <col min="3" max="3" width="10.42578125" bestFit="1" customWidth="1"/>
    <col min="4" max="4" width="11.28515625" bestFit="1" customWidth="1"/>
    <col min="5" max="5" width="12.140625" bestFit="1" customWidth="1"/>
    <col min="6" max="6" width="5.140625" customWidth="1"/>
    <col min="7" max="7" width="10.140625" bestFit="1" customWidth="1"/>
    <col min="8" max="8" width="12.140625" bestFit="1" customWidth="1"/>
    <col min="9" max="9" width="11.28515625" bestFit="1" customWidth="1"/>
  </cols>
  <sheetData/>
  <sortState ref="B3:D9">
    <sortCondition descending="1" ref="B3"/>
  </sortState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9"/>
    </sheetView>
  </sheetViews>
  <sheetFormatPr defaultRowHeight="15" x14ac:dyDescent="0.25"/>
  <cols>
    <col min="3" max="3" width="10.42578125" bestFit="1" customWidth="1"/>
    <col min="4" max="4" width="12.140625" bestFit="1" customWidth="1"/>
  </cols>
  <sheetData/>
  <sortState ref="B3:D8">
    <sortCondition descending="1" ref="B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Result Q Men sportisti</vt:lpstr>
      <vt:lpstr>Result Q Men amatieri</vt:lpstr>
      <vt:lpstr>Result Q Women sportisti</vt:lpstr>
      <vt:lpstr>Result Q Women amatieri</vt:lpstr>
      <vt:lpstr>Result SemiFinal</vt:lpstr>
      <vt:lpstr>Result FINAL</vt:lpstr>
      <vt:lpstr>Dalībnieku saraksts</vt:lpstr>
      <vt:lpstr>Sheet1</vt:lpstr>
      <vt:lpstr>Sheet2</vt:lpstr>
    </vt:vector>
  </TitlesOfParts>
  <Company>AAS Gjensidige Baltic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Rolands Laganovskis</dc:creator>
  <cp:lastModifiedBy>FalkorsBouldering</cp:lastModifiedBy>
  <cp:lastPrinted>2018-02-25T14:09:32Z</cp:lastPrinted>
  <dcterms:created xsi:type="dcterms:W3CDTF">2014-02-13T13:51:13Z</dcterms:created>
  <dcterms:modified xsi:type="dcterms:W3CDTF">2018-02-28T10:35:17Z</dcterms:modified>
</cp:coreProperties>
</file>